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8135" windowHeight="72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A12" i="1"/>
  <c r="Z12"/>
  <c r="X4"/>
  <c r="Y4" s="1"/>
  <c r="Q4"/>
  <c r="P4"/>
  <c r="X5"/>
  <c r="Q5"/>
  <c r="Y5" s="1"/>
  <c r="X6"/>
  <c r="Q6"/>
  <c r="X7"/>
  <c r="Y7" s="1"/>
  <c r="Q7"/>
  <c r="P7"/>
  <c r="X9"/>
  <c r="Q9"/>
  <c r="Y9" s="1"/>
  <c r="X8"/>
  <c r="Y8" s="1"/>
  <c r="Q8"/>
  <c r="P8"/>
  <c r="P10"/>
  <c r="Q10" s="1"/>
  <c r="P12"/>
  <c r="Q12" s="1"/>
  <c r="X10"/>
  <c r="X11"/>
  <c r="Q11"/>
  <c r="X12"/>
  <c r="P28"/>
  <c r="AA21"/>
  <c r="P13"/>
  <c r="X13"/>
  <c r="Q13"/>
  <c r="P14"/>
  <c r="X14"/>
  <c r="Q14"/>
  <c r="P15"/>
  <c r="X15"/>
  <c r="Q15"/>
  <c r="X16"/>
  <c r="Y16" s="1"/>
  <c r="Q16"/>
  <c r="P16"/>
  <c r="P17"/>
  <c r="X17"/>
  <c r="Q17"/>
  <c r="P18"/>
  <c r="X18"/>
  <c r="Q18"/>
  <c r="Y18" s="1"/>
  <c r="X19"/>
  <c r="Y19" s="1"/>
  <c r="Q19"/>
  <c r="P19"/>
  <c r="P20"/>
  <c r="X20"/>
  <c r="Q20"/>
  <c r="Q21"/>
  <c r="P21"/>
  <c r="AA27"/>
  <c r="Z27"/>
  <c r="X22"/>
  <c r="Q22"/>
  <c r="P23"/>
  <c r="X23"/>
  <c r="Q23"/>
  <c r="X24"/>
  <c r="Q24"/>
  <c r="Y24" s="1"/>
  <c r="X25"/>
  <c r="Q25"/>
  <c r="Y25" s="1"/>
  <c r="P145"/>
  <c r="X145"/>
  <c r="Q145"/>
  <c r="Y145" s="1"/>
  <c r="P26"/>
  <c r="X26"/>
  <c r="Q26"/>
  <c r="AA30"/>
  <c r="X28"/>
  <c r="Q28"/>
  <c r="P27"/>
  <c r="X27"/>
  <c r="Q27"/>
  <c r="P29"/>
  <c r="X29"/>
  <c r="Q29"/>
  <c r="X74"/>
  <c r="Y74" s="1"/>
  <c r="X30"/>
  <c r="Q30"/>
  <c r="P30"/>
  <c r="AA39"/>
  <c r="X32"/>
  <c r="Y32" s="1"/>
  <c r="Q32"/>
  <c r="X31"/>
  <c r="Q31"/>
  <c r="X33"/>
  <c r="Q33"/>
  <c r="X34"/>
  <c r="Q34"/>
  <c r="P34"/>
  <c r="P35"/>
  <c r="X35"/>
  <c r="Q35"/>
  <c r="P36"/>
  <c r="X36"/>
  <c r="Q36"/>
  <c r="P37"/>
  <c r="X37"/>
  <c r="Q37"/>
  <c r="X38"/>
  <c r="Y38" s="1"/>
  <c r="Q38"/>
  <c r="P38"/>
  <c r="X39"/>
  <c r="Q39"/>
  <c r="W117"/>
  <c r="T117"/>
  <c r="T113"/>
  <c r="T114"/>
  <c r="AA46"/>
  <c r="AA72" s="1"/>
  <c r="P45"/>
  <c r="X45"/>
  <c r="Q45"/>
  <c r="Y45" s="1"/>
  <c r="P46"/>
  <c r="X46"/>
  <c r="Q46"/>
  <c r="P44"/>
  <c r="X44"/>
  <c r="Q44"/>
  <c r="P43"/>
  <c r="P42"/>
  <c r="X42"/>
  <c r="Q42"/>
  <c r="P41"/>
  <c r="X41"/>
  <c r="Q41"/>
  <c r="X43"/>
  <c r="Q43"/>
  <c r="Q81"/>
  <c r="W72"/>
  <c r="V72"/>
  <c r="U72"/>
  <c r="T72"/>
  <c r="S72"/>
  <c r="O72"/>
  <c r="N72"/>
  <c r="M72"/>
  <c r="L72"/>
  <c r="J72"/>
  <c r="AA56"/>
  <c r="X47"/>
  <c r="Y47" s="1"/>
  <c r="Q47"/>
  <c r="P48"/>
  <c r="X48"/>
  <c r="Q48"/>
  <c r="X49"/>
  <c r="Y49" s="1"/>
  <c r="Q49"/>
  <c r="P50"/>
  <c r="X50"/>
  <c r="Q50"/>
  <c r="P51"/>
  <c r="X51"/>
  <c r="Q51"/>
  <c r="P53"/>
  <c r="P52"/>
  <c r="X52"/>
  <c r="Q52"/>
  <c r="P55"/>
  <c r="X55"/>
  <c r="Q55"/>
  <c r="X53"/>
  <c r="Q53"/>
  <c r="X54"/>
  <c r="Y54" s="1"/>
  <c r="Q54"/>
  <c r="P54"/>
  <c r="P56"/>
  <c r="X56"/>
  <c r="Q56"/>
  <c r="J292"/>
  <c r="AA65"/>
  <c r="P59"/>
  <c r="X57"/>
  <c r="Y57" s="1"/>
  <c r="Q57"/>
  <c r="P57"/>
  <c r="P60"/>
  <c r="X60"/>
  <c r="Q60"/>
  <c r="X59"/>
  <c r="Q59"/>
  <c r="X58"/>
  <c r="Q58"/>
  <c r="X62"/>
  <c r="Y62" s="1"/>
  <c r="Q62"/>
  <c r="P62"/>
  <c r="W160"/>
  <c r="W149"/>
  <c r="P63"/>
  <c r="X63"/>
  <c r="Q63"/>
  <c r="X64"/>
  <c r="Q64"/>
  <c r="P65"/>
  <c r="X65"/>
  <c r="Q65"/>
  <c r="AA71"/>
  <c r="P66"/>
  <c r="X66"/>
  <c r="Q66"/>
  <c r="P67"/>
  <c r="X67"/>
  <c r="Q67"/>
  <c r="X69"/>
  <c r="Q69"/>
  <c r="X70"/>
  <c r="Y70" s="1"/>
  <c r="Q70"/>
  <c r="X68"/>
  <c r="Q68"/>
  <c r="X71"/>
  <c r="Q71"/>
  <c r="P71"/>
  <c r="AA88"/>
  <c r="AA79"/>
  <c r="Q74"/>
  <c r="P74"/>
  <c r="P78"/>
  <c r="X77"/>
  <c r="Y77" s="1"/>
  <c r="Q77"/>
  <c r="P77"/>
  <c r="X76"/>
  <c r="Y76" s="1"/>
  <c r="Q76"/>
  <c r="X75"/>
  <c r="Y75" s="1"/>
  <c r="Q75"/>
  <c r="P75"/>
  <c r="W154"/>
  <c r="X78"/>
  <c r="Q78"/>
  <c r="AA92"/>
  <c r="X80"/>
  <c r="Y80" s="1"/>
  <c r="Q80"/>
  <c r="P80"/>
  <c r="P81"/>
  <c r="X81"/>
  <c r="P82"/>
  <c r="X82"/>
  <c r="Q82"/>
  <c r="X83"/>
  <c r="Q83"/>
  <c r="X85"/>
  <c r="Q85"/>
  <c r="X84"/>
  <c r="P84"/>
  <c r="Q84" s="1"/>
  <c r="X87"/>
  <c r="Q87"/>
  <c r="P86"/>
  <c r="X86"/>
  <c r="Q86"/>
  <c r="Y86" s="1"/>
  <c r="P88"/>
  <c r="X88"/>
  <c r="Q88"/>
  <c r="P89"/>
  <c r="X89"/>
  <c r="Q89"/>
  <c r="P91"/>
  <c r="X91"/>
  <c r="Q91"/>
  <c r="X90"/>
  <c r="P90"/>
  <c r="Q90" s="1"/>
  <c r="Y90" s="1"/>
  <c r="X92"/>
  <c r="Q92"/>
  <c r="P92"/>
  <c r="AA102"/>
  <c r="P93"/>
  <c r="X93"/>
  <c r="Q93"/>
  <c r="P97"/>
  <c r="X97"/>
  <c r="Q97"/>
  <c r="X96"/>
  <c r="P96"/>
  <c r="Q96" s="1"/>
  <c r="P94"/>
  <c r="X94"/>
  <c r="Q94"/>
  <c r="P95"/>
  <c r="X95"/>
  <c r="Q95"/>
  <c r="P101"/>
  <c r="X101"/>
  <c r="Q101"/>
  <c r="P98"/>
  <c r="X98"/>
  <c r="Q98"/>
  <c r="P102"/>
  <c r="X102"/>
  <c r="Q102"/>
  <c r="X100"/>
  <c r="Q100"/>
  <c r="AA109"/>
  <c r="P103"/>
  <c r="X103"/>
  <c r="Q103"/>
  <c r="P104"/>
  <c r="X104"/>
  <c r="Q104"/>
  <c r="P105"/>
  <c r="X105"/>
  <c r="Q105"/>
  <c r="P106"/>
  <c r="X106"/>
  <c r="Q106"/>
  <c r="P107"/>
  <c r="X107"/>
  <c r="Q107"/>
  <c r="P108"/>
  <c r="X108"/>
  <c r="Q108"/>
  <c r="P109"/>
  <c r="X109"/>
  <c r="Q109"/>
  <c r="W224"/>
  <c r="W223"/>
  <c r="W216"/>
  <c r="AA143"/>
  <c r="AA122"/>
  <c r="P115"/>
  <c r="P116"/>
  <c r="P110"/>
  <c r="Q110" s="1"/>
  <c r="P111"/>
  <c r="X110"/>
  <c r="X112"/>
  <c r="Q112"/>
  <c r="X111"/>
  <c r="Q111"/>
  <c r="P113"/>
  <c r="P114"/>
  <c r="P117"/>
  <c r="P118"/>
  <c r="X116"/>
  <c r="Q116"/>
  <c r="X115"/>
  <c r="Q115"/>
  <c r="X113"/>
  <c r="Q113"/>
  <c r="X114"/>
  <c r="Q114"/>
  <c r="X117"/>
  <c r="Q117"/>
  <c r="X118"/>
  <c r="Q118"/>
  <c r="P139"/>
  <c r="P119"/>
  <c r="X119"/>
  <c r="Q119"/>
  <c r="X120"/>
  <c r="Q120"/>
  <c r="X121"/>
  <c r="Q121"/>
  <c r="X122"/>
  <c r="Y122" s="1"/>
  <c r="Q122"/>
  <c r="X168"/>
  <c r="P168"/>
  <c r="Q168" s="1"/>
  <c r="AA126"/>
  <c r="P123"/>
  <c r="X123"/>
  <c r="Q123"/>
  <c r="P124"/>
  <c r="X124"/>
  <c r="Q124"/>
  <c r="P125"/>
  <c r="X125"/>
  <c r="Q125"/>
  <c r="P140"/>
  <c r="P126"/>
  <c r="X126"/>
  <c r="Q126"/>
  <c r="X127"/>
  <c r="P127"/>
  <c r="P131"/>
  <c r="Q131" s="1"/>
  <c r="X131"/>
  <c r="AA134"/>
  <c r="P129"/>
  <c r="Q127"/>
  <c r="X128"/>
  <c r="Q128"/>
  <c r="X129"/>
  <c r="Q129"/>
  <c r="X130"/>
  <c r="Q130"/>
  <c r="X132"/>
  <c r="Q132"/>
  <c r="X133"/>
  <c r="Q133"/>
  <c r="O134"/>
  <c r="X134"/>
  <c r="P134"/>
  <c r="Q134" s="1"/>
  <c r="X135"/>
  <c r="Q135"/>
  <c r="P136"/>
  <c r="P137"/>
  <c r="X137"/>
  <c r="Q137"/>
  <c r="Y137" s="1"/>
  <c r="P138"/>
  <c r="AA152"/>
  <c r="X136"/>
  <c r="Q136"/>
  <c r="X138"/>
  <c r="Q138"/>
  <c r="X140"/>
  <c r="Q140"/>
  <c r="X139"/>
  <c r="Q139"/>
  <c r="P141"/>
  <c r="X141"/>
  <c r="Q141"/>
  <c r="Y141" s="1"/>
  <c r="P143"/>
  <c r="X143"/>
  <c r="Q143"/>
  <c r="X142"/>
  <c r="P142"/>
  <c r="Q142" s="1"/>
  <c r="AA158"/>
  <c r="X144"/>
  <c r="P144"/>
  <c r="Q144" s="1"/>
  <c r="P146"/>
  <c r="X146"/>
  <c r="Q146"/>
  <c r="X147"/>
  <c r="Q147"/>
  <c r="P148"/>
  <c r="X148"/>
  <c r="Q148"/>
  <c r="P149"/>
  <c r="X149"/>
  <c r="Q149"/>
  <c r="P150"/>
  <c r="Q150" s="1"/>
  <c r="P151"/>
  <c r="X151"/>
  <c r="Q151"/>
  <c r="P152"/>
  <c r="X152"/>
  <c r="Q152"/>
  <c r="Y152" s="1"/>
  <c r="P153"/>
  <c r="Q153" s="1"/>
  <c r="P154"/>
  <c r="X154"/>
  <c r="Q154"/>
  <c r="X153"/>
  <c r="P155"/>
  <c r="X155"/>
  <c r="Q155"/>
  <c r="X156"/>
  <c r="P156"/>
  <c r="Q156" s="1"/>
  <c r="P157"/>
  <c r="X157"/>
  <c r="Q157"/>
  <c r="P158"/>
  <c r="X158"/>
  <c r="Q158"/>
  <c r="W246"/>
  <c r="W237"/>
  <c r="W238"/>
  <c r="W236"/>
  <c r="AA164"/>
  <c r="P159"/>
  <c r="X159"/>
  <c r="Q159"/>
  <c r="P160"/>
  <c r="X160"/>
  <c r="Q160"/>
  <c r="X161"/>
  <c r="Q161"/>
  <c r="X164"/>
  <c r="Q164"/>
  <c r="P162"/>
  <c r="X162"/>
  <c r="Q162"/>
  <c r="P163"/>
  <c r="X163"/>
  <c r="Q163"/>
  <c r="AA174"/>
  <c r="P165"/>
  <c r="X165"/>
  <c r="Q165"/>
  <c r="AA185"/>
  <c r="AA291"/>
  <c r="AA285"/>
  <c r="AA281"/>
  <c r="AA274"/>
  <c r="AA269"/>
  <c r="AA262"/>
  <c r="AA255"/>
  <c r="AA251"/>
  <c r="AA247"/>
  <c r="AA242"/>
  <c r="AA239"/>
  <c r="AA236"/>
  <c r="AA228"/>
  <c r="AA218"/>
  <c r="AA215"/>
  <c r="AA201"/>
  <c r="AA193"/>
  <c r="P166"/>
  <c r="X166"/>
  <c r="Q166"/>
  <c r="X167"/>
  <c r="Q167"/>
  <c r="P169"/>
  <c r="X169"/>
  <c r="Q169"/>
  <c r="X170"/>
  <c r="P170"/>
  <c r="Q170" s="1"/>
  <c r="X171"/>
  <c r="P171"/>
  <c r="Q171" s="1"/>
  <c r="X225"/>
  <c r="X173"/>
  <c r="P173"/>
  <c r="Q173" s="1"/>
  <c r="X172"/>
  <c r="P172"/>
  <c r="Q172" s="1"/>
  <c r="X174"/>
  <c r="Q174"/>
  <c r="P175"/>
  <c r="Q175" s="1"/>
  <c r="P177"/>
  <c r="P176"/>
  <c r="P178"/>
  <c r="Q178" s="1"/>
  <c r="X178"/>
  <c r="X176"/>
  <c r="X177"/>
  <c r="Q177"/>
  <c r="X175"/>
  <c r="Q176"/>
  <c r="P179"/>
  <c r="X179"/>
  <c r="Q179"/>
  <c r="X180"/>
  <c r="P180"/>
  <c r="Q180" s="1"/>
  <c r="X181"/>
  <c r="P181"/>
  <c r="Q181" s="1"/>
  <c r="P182"/>
  <c r="X182"/>
  <c r="Q182"/>
  <c r="X183"/>
  <c r="P183"/>
  <c r="Q183" s="1"/>
  <c r="P184"/>
  <c r="X184"/>
  <c r="Q184"/>
  <c r="P185"/>
  <c r="X185"/>
  <c r="Q185"/>
  <c r="P186"/>
  <c r="Q186" s="1"/>
  <c r="P187"/>
  <c r="X186"/>
  <c r="X187"/>
  <c r="Q187"/>
  <c r="P188"/>
  <c r="X188"/>
  <c r="Q188"/>
  <c r="X189"/>
  <c r="Q189"/>
  <c r="P191"/>
  <c r="Q191" s="1"/>
  <c r="P190"/>
  <c r="X190"/>
  <c r="Q190"/>
  <c r="X191"/>
  <c r="P192"/>
  <c r="X192"/>
  <c r="Q192"/>
  <c r="P230"/>
  <c r="Q230" s="1"/>
  <c r="X230"/>
  <c r="X193"/>
  <c r="P193"/>
  <c r="Q193" s="1"/>
  <c r="X199"/>
  <c r="P199"/>
  <c r="Q199" s="1"/>
  <c r="P198"/>
  <c r="Q198" s="1"/>
  <c r="P196"/>
  <c r="Q196" s="1"/>
  <c r="X197"/>
  <c r="P197"/>
  <c r="Q197" s="1"/>
  <c r="P195"/>
  <c r="X196"/>
  <c r="X198"/>
  <c r="X195"/>
  <c r="Q195"/>
  <c r="P194"/>
  <c r="X194"/>
  <c r="Q194"/>
  <c r="X200"/>
  <c r="P200"/>
  <c r="Q200" s="1"/>
  <c r="P201"/>
  <c r="X201"/>
  <c r="Q201"/>
  <c r="P204"/>
  <c r="X204"/>
  <c r="Q204"/>
  <c r="X208"/>
  <c r="P208"/>
  <c r="Q208" s="1"/>
  <c r="P207"/>
  <c r="X207"/>
  <c r="Q207"/>
  <c r="X206"/>
  <c r="Q206"/>
  <c r="P203"/>
  <c r="X203"/>
  <c r="Q203"/>
  <c r="P202"/>
  <c r="X202"/>
  <c r="Q202"/>
  <c r="X210"/>
  <c r="P210"/>
  <c r="Q210" s="1"/>
  <c r="P209"/>
  <c r="X209"/>
  <c r="Q209"/>
  <c r="P211"/>
  <c r="Q211" s="1"/>
  <c r="P212"/>
  <c r="X211"/>
  <c r="X212"/>
  <c r="Q212"/>
  <c r="X214"/>
  <c r="P214"/>
  <c r="Q214" s="1"/>
  <c r="X215"/>
  <c r="Q215"/>
  <c r="Y215" s="1"/>
  <c r="X213"/>
  <c r="Q213"/>
  <c r="Y6" l="1"/>
  <c r="Y10"/>
  <c r="Y12"/>
  <c r="Y11"/>
  <c r="Y28"/>
  <c r="Y13"/>
  <c r="Z21" s="1"/>
  <c r="Y14"/>
  <c r="Y15"/>
  <c r="Y17"/>
  <c r="Y20"/>
  <c r="Y22"/>
  <c r="Y23"/>
  <c r="AA292"/>
  <c r="Y26"/>
  <c r="Y27"/>
  <c r="Y29"/>
  <c r="Y30"/>
  <c r="Y31"/>
  <c r="Y33"/>
  <c r="Y34"/>
  <c r="Y35"/>
  <c r="Y36"/>
  <c r="Y37"/>
  <c r="Y39"/>
  <c r="Y46"/>
  <c r="Y44"/>
  <c r="Z46" s="1"/>
  <c r="Y43"/>
  <c r="Y42"/>
  <c r="Q72"/>
  <c r="Y41"/>
  <c r="Y78"/>
  <c r="Z79" s="1"/>
  <c r="X72"/>
  <c r="Y48"/>
  <c r="Y50"/>
  <c r="Y51"/>
  <c r="Y53"/>
  <c r="Y52"/>
  <c r="Y55"/>
  <c r="Z56" s="1"/>
  <c r="Y56"/>
  <c r="Y59"/>
  <c r="Y58"/>
  <c r="Y60"/>
  <c r="Y63"/>
  <c r="Y64"/>
  <c r="Y65"/>
  <c r="Y66"/>
  <c r="Y67"/>
  <c r="Y69"/>
  <c r="Y68"/>
  <c r="Y71"/>
  <c r="Y120"/>
  <c r="Y81"/>
  <c r="Y82"/>
  <c r="Y135"/>
  <c r="Y96"/>
  <c r="Y84"/>
  <c r="Y83"/>
  <c r="Y85"/>
  <c r="Y87"/>
  <c r="Y88"/>
  <c r="Y89"/>
  <c r="Y92"/>
  <c r="Z92" s="1"/>
  <c r="Y91"/>
  <c r="Y128"/>
  <c r="Y129"/>
  <c r="Y132"/>
  <c r="Y93"/>
  <c r="Y97"/>
  <c r="Y94"/>
  <c r="Y95"/>
  <c r="Y101"/>
  <c r="Y98"/>
  <c r="Y102"/>
  <c r="Y100"/>
  <c r="Y103"/>
  <c r="Y104"/>
  <c r="Y105"/>
  <c r="Y106"/>
  <c r="Y107"/>
  <c r="Y160"/>
  <c r="Y108"/>
  <c r="Y168"/>
  <c r="Y109"/>
  <c r="Y172"/>
  <c r="Y115"/>
  <c r="Y116"/>
  <c r="Y110"/>
  <c r="Y111"/>
  <c r="Y112"/>
  <c r="Y113"/>
  <c r="Y114"/>
  <c r="Y117"/>
  <c r="Y118"/>
  <c r="Y119"/>
  <c r="Y121"/>
  <c r="Y158"/>
  <c r="Y147"/>
  <c r="Y143"/>
  <c r="Y144"/>
  <c r="Y142"/>
  <c r="Y164"/>
  <c r="Y156"/>
  <c r="Y133"/>
  <c r="Y123"/>
  <c r="Y124"/>
  <c r="Y125"/>
  <c r="Y140"/>
  <c r="Y126"/>
  <c r="Y127"/>
  <c r="Y130"/>
  <c r="Y131"/>
  <c r="Z134" s="1"/>
  <c r="Y134"/>
  <c r="Y139"/>
  <c r="Y136"/>
  <c r="Y138"/>
  <c r="Y187"/>
  <c r="Y146"/>
  <c r="Y148"/>
  <c r="Y149"/>
  <c r="Y151"/>
  <c r="Y153"/>
  <c r="Y154"/>
  <c r="Y155"/>
  <c r="Y157"/>
  <c r="Y159"/>
  <c r="Y161"/>
  <c r="Y162"/>
  <c r="Y183"/>
  <c r="Y163"/>
  <c r="Y165"/>
  <c r="Y195"/>
  <c r="Y198"/>
  <c r="Y193"/>
  <c r="Y192"/>
  <c r="Y181"/>
  <c r="Y171"/>
  <c r="Y199"/>
  <c r="Y191"/>
  <c r="Y173"/>
  <c r="Y170"/>
  <c r="Y166"/>
  <c r="Y167"/>
  <c r="Y169"/>
  <c r="Y174"/>
  <c r="Y175"/>
  <c r="Y177"/>
  <c r="Y178"/>
  <c r="Y176"/>
  <c r="Y179"/>
  <c r="Y180"/>
  <c r="Y182"/>
  <c r="Y184"/>
  <c r="Y185"/>
  <c r="Y214"/>
  <c r="Y186"/>
  <c r="Y188"/>
  <c r="Y189"/>
  <c r="Y190"/>
  <c r="Y230"/>
  <c r="Y196"/>
  <c r="Y197"/>
  <c r="Y207"/>
  <c r="Y210"/>
  <c r="Y208"/>
  <c r="Y200"/>
  <c r="Y194"/>
  <c r="Y201"/>
  <c r="Y204"/>
  <c r="Y206"/>
  <c r="Y203"/>
  <c r="Y202"/>
  <c r="Y209"/>
  <c r="Y211"/>
  <c r="Y212"/>
  <c r="Y213"/>
  <c r="Z30" l="1"/>
  <c r="Z39"/>
  <c r="Z88"/>
  <c r="Y292"/>
  <c r="Y72"/>
  <c r="Z65"/>
  <c r="Z71"/>
  <c r="Z122"/>
  <c r="Z109"/>
  <c r="Z102"/>
  <c r="Z158"/>
  <c r="Z143"/>
  <c r="Z164"/>
  <c r="Z152"/>
  <c r="Z126"/>
  <c r="Z201"/>
  <c r="Z174"/>
  <c r="Z193"/>
  <c r="Z185"/>
  <c r="Z215"/>
  <c r="X216"/>
  <c r="P216"/>
  <c r="Q216" s="1"/>
  <c r="Z292" l="1"/>
  <c r="Z72"/>
  <c r="Y216"/>
  <c r="X217"/>
  <c r="P217"/>
  <c r="Q217" s="1"/>
  <c r="X218"/>
  <c r="Q218"/>
  <c r="X219"/>
  <c r="P219"/>
  <c r="Q219" s="1"/>
  <c r="X242"/>
  <c r="P242"/>
  <c r="Q242" s="1"/>
  <c r="Y242" s="1"/>
  <c r="X220"/>
  <c r="P220"/>
  <c r="Q220" s="1"/>
  <c r="X221"/>
  <c r="P221"/>
  <c r="Q221" s="1"/>
  <c r="Y221" s="1"/>
  <c r="P222"/>
  <c r="P223"/>
  <c r="P224"/>
  <c r="P225"/>
  <c r="Q225" s="1"/>
  <c r="X223"/>
  <c r="Q223"/>
  <c r="X224"/>
  <c r="Q224"/>
  <c r="X222"/>
  <c r="Q222"/>
  <c r="P226"/>
  <c r="X226"/>
  <c r="Q226"/>
  <c r="X249"/>
  <c r="P249"/>
  <c r="Q249" s="1"/>
  <c r="P245"/>
  <c r="X228"/>
  <c r="Q228"/>
  <c r="P227"/>
  <c r="X227"/>
  <c r="Q227"/>
  <c r="X229"/>
  <c r="P229"/>
  <c r="Q229" s="1"/>
  <c r="P233"/>
  <c r="Q233" s="1"/>
  <c r="P231"/>
  <c r="X231"/>
  <c r="Q231"/>
  <c r="P232"/>
  <c r="X233"/>
  <c r="X232"/>
  <c r="Q232"/>
  <c r="X234"/>
  <c r="Q234"/>
  <c r="P235"/>
  <c r="Q235" s="1"/>
  <c r="P236"/>
  <c r="Q236" s="1"/>
  <c r="P237"/>
  <c r="P238"/>
  <c r="X235"/>
  <c r="X239"/>
  <c r="P239"/>
  <c r="Q239" s="1"/>
  <c r="X236"/>
  <c r="X237"/>
  <c r="Q237"/>
  <c r="X238"/>
  <c r="Q238"/>
  <c r="Y226" l="1"/>
  <c r="Y229"/>
  <c r="Y231"/>
  <c r="Y232"/>
  <c r="Y233"/>
  <c r="Y234"/>
  <c r="Y220"/>
  <c r="Y219"/>
  <c r="Y217"/>
  <c r="Y218"/>
  <c r="Y239"/>
  <c r="Y222"/>
  <c r="Y225"/>
  <c r="Y223"/>
  <c r="Y224"/>
  <c r="Y249"/>
  <c r="Y228"/>
  <c r="Y227"/>
  <c r="Y235"/>
  <c r="Y236"/>
  <c r="Y237"/>
  <c r="Y238"/>
  <c r="W312"/>
  <c r="W313"/>
  <c r="W281"/>
  <c r="Z218" l="1"/>
  <c r="Z236"/>
  <c r="Z228"/>
  <c r="Z239"/>
  <c r="P240"/>
  <c r="X240"/>
  <c r="Q240"/>
  <c r="P241"/>
  <c r="X241"/>
  <c r="Q241"/>
  <c r="P243"/>
  <c r="X243"/>
  <c r="Q243"/>
  <c r="X244"/>
  <c r="P244"/>
  <c r="Q244" s="1"/>
  <c r="X245"/>
  <c r="Q245"/>
  <c r="P246"/>
  <c r="X246"/>
  <c r="Q246"/>
  <c r="X247"/>
  <c r="P247"/>
  <c r="Q247" s="1"/>
  <c r="W305"/>
  <c r="W301"/>
  <c r="W300"/>
  <c r="Q251"/>
  <c r="X251"/>
  <c r="P248"/>
  <c r="Q248" s="1"/>
  <c r="X248"/>
  <c r="Y244" l="1"/>
  <c r="Y243"/>
  <c r="Y240"/>
  <c r="Y241"/>
  <c r="Y247"/>
  <c r="Y245"/>
  <c r="Y246"/>
  <c r="Y251"/>
  <c r="Y248"/>
  <c r="P254"/>
  <c r="P253"/>
  <c r="X253"/>
  <c r="Q253"/>
  <c r="X252"/>
  <c r="Y252" s="1"/>
  <c r="X254"/>
  <c r="Q254"/>
  <c r="P255"/>
  <c r="X255"/>
  <c r="Q255"/>
  <c r="X256"/>
  <c r="P256"/>
  <c r="Q256" s="1"/>
  <c r="X262"/>
  <c r="Q262"/>
  <c r="P261"/>
  <c r="X261"/>
  <c r="Q261"/>
  <c r="X260"/>
  <c r="P259"/>
  <c r="X259"/>
  <c r="Q259"/>
  <c r="X258"/>
  <c r="Y258" s="1"/>
  <c r="P258"/>
  <c r="Q260"/>
  <c r="P257"/>
  <c r="X257"/>
  <c r="Q257"/>
  <c r="P263"/>
  <c r="X263"/>
  <c r="Q263"/>
  <c r="P264"/>
  <c r="X264"/>
  <c r="Q264"/>
  <c r="P309"/>
  <c r="P308"/>
  <c r="P267"/>
  <c r="Q267" s="1"/>
  <c r="P266"/>
  <c r="Q266" s="1"/>
  <c r="X267"/>
  <c r="X266"/>
  <c r="X268"/>
  <c r="Q268"/>
  <c r="X269"/>
  <c r="Q269"/>
  <c r="X265"/>
  <c r="P265"/>
  <c r="Q265" s="1"/>
  <c r="P270"/>
  <c r="X270"/>
  <c r="Q270"/>
  <c r="X271"/>
  <c r="P271"/>
  <c r="Q271" s="1"/>
  <c r="Y256" l="1"/>
  <c r="Z251"/>
  <c r="Z242"/>
  <c r="Y260"/>
  <c r="Y271"/>
  <c r="Y265"/>
  <c r="Z247"/>
  <c r="Y253"/>
  <c r="Y254"/>
  <c r="Y255"/>
  <c r="Y262"/>
  <c r="Y261"/>
  <c r="Y259"/>
  <c r="Y257"/>
  <c r="Y263"/>
  <c r="Y264"/>
  <c r="Y267"/>
  <c r="Y266"/>
  <c r="Y268"/>
  <c r="Y269"/>
  <c r="Y270"/>
  <c r="P272"/>
  <c r="X272"/>
  <c r="Q272"/>
  <c r="P273"/>
  <c r="X273"/>
  <c r="Q273"/>
  <c r="X274"/>
  <c r="P274"/>
  <c r="Q274" s="1"/>
  <c r="P275"/>
  <c r="Q275" s="1"/>
  <c r="P276"/>
  <c r="X275"/>
  <c r="X276"/>
  <c r="Q276"/>
  <c r="X277"/>
  <c r="Q277"/>
  <c r="P278"/>
  <c r="X278"/>
  <c r="Q278"/>
  <c r="X279"/>
  <c r="Q279"/>
  <c r="P280"/>
  <c r="X280"/>
  <c r="Q280"/>
  <c r="P281"/>
  <c r="X281"/>
  <c r="Q281"/>
  <c r="L292"/>
  <c r="M292"/>
  <c r="N292"/>
  <c r="O292"/>
  <c r="S292"/>
  <c r="T292"/>
  <c r="U292"/>
  <c r="V292"/>
  <c r="O502"/>
  <c r="O495"/>
  <c r="P282"/>
  <c r="Q282" s="1"/>
  <c r="X283"/>
  <c r="P283"/>
  <c r="Q283" s="1"/>
  <c r="X282"/>
  <c r="P284"/>
  <c r="X284"/>
  <c r="Q284"/>
  <c r="X285"/>
  <c r="P285"/>
  <c r="Q285" s="1"/>
  <c r="W338"/>
  <c r="P286"/>
  <c r="X286"/>
  <c r="Q286"/>
  <c r="P287"/>
  <c r="X287"/>
  <c r="Q287"/>
  <c r="P288"/>
  <c r="P290"/>
  <c r="P291"/>
  <c r="T504"/>
  <c r="S504"/>
  <c r="O504"/>
  <c r="M504"/>
  <c r="L504"/>
  <c r="J504"/>
  <c r="X290"/>
  <c r="Y290" s="1"/>
  <c r="X291"/>
  <c r="Q291"/>
  <c r="X289"/>
  <c r="P289"/>
  <c r="Q289" s="1"/>
  <c r="X288"/>
  <c r="Q288"/>
  <c r="P300"/>
  <c r="P301"/>
  <c r="P302"/>
  <c r="X297"/>
  <c r="Q297"/>
  <c r="X296"/>
  <c r="Q296"/>
  <c r="X295"/>
  <c r="P295"/>
  <c r="Q295" s="1"/>
  <c r="Y295" l="1"/>
  <c r="Y274"/>
  <c r="Z255"/>
  <c r="P292"/>
  <c r="Y283"/>
  <c r="Z262"/>
  <c r="Y282"/>
  <c r="Z269"/>
  <c r="Y279"/>
  <c r="Y272"/>
  <c r="Y273"/>
  <c r="Y276"/>
  <c r="Y275"/>
  <c r="Y277"/>
  <c r="Y278"/>
  <c r="X292"/>
  <c r="Y280"/>
  <c r="Q292"/>
  <c r="Y281"/>
  <c r="W292"/>
  <c r="Y284"/>
  <c r="Y285"/>
  <c r="Y286"/>
  <c r="Y287"/>
  <c r="Y288"/>
  <c r="Y289"/>
  <c r="Y291"/>
  <c r="Y296"/>
  <c r="Y297"/>
  <c r="X303"/>
  <c r="P303"/>
  <c r="Q303" s="1"/>
  <c r="X300"/>
  <c r="Q300"/>
  <c r="X301"/>
  <c r="Q301"/>
  <c r="X299"/>
  <c r="P299"/>
  <c r="Q299" s="1"/>
  <c r="X302"/>
  <c r="Q302"/>
  <c r="Z274" l="1"/>
  <c r="Z285"/>
  <c r="Z281"/>
  <c r="Z291"/>
  <c r="Y303"/>
  <c r="Y299"/>
  <c r="Y302"/>
  <c r="Y300"/>
  <c r="Y301"/>
  <c r="P310"/>
  <c r="X310"/>
  <c r="Q310"/>
  <c r="P304"/>
  <c r="X304"/>
  <c r="Q304"/>
  <c r="P306"/>
  <c r="X306"/>
  <c r="Q306"/>
  <c r="P305"/>
  <c r="Q305" s="1"/>
  <c r="W381"/>
  <c r="W382"/>
  <c r="W390"/>
  <c r="X307"/>
  <c r="P307"/>
  <c r="Q307" s="1"/>
  <c r="X305"/>
  <c r="Z303" l="1"/>
  <c r="Y310"/>
  <c r="Y304"/>
  <c r="Y306"/>
  <c r="Y307"/>
  <c r="Y305"/>
  <c r="Q308"/>
  <c r="Q309"/>
  <c r="X308"/>
  <c r="X309"/>
  <c r="X311"/>
  <c r="P311"/>
  <c r="Q311" s="1"/>
  <c r="P312"/>
  <c r="X312"/>
  <c r="Q312"/>
  <c r="P313"/>
  <c r="X313"/>
  <c r="Q313"/>
  <c r="P314"/>
  <c r="X314"/>
  <c r="Q314"/>
  <c r="X315"/>
  <c r="Q315"/>
  <c r="X318"/>
  <c r="P318"/>
  <c r="Q318" s="1"/>
  <c r="P316"/>
  <c r="X316"/>
  <c r="Q316"/>
  <c r="Y316" s="1"/>
  <c r="W319"/>
  <c r="X319" s="1"/>
  <c r="Q319"/>
  <c r="X317"/>
  <c r="P317"/>
  <c r="Q317" s="1"/>
  <c r="W320"/>
  <c r="X320" s="1"/>
  <c r="Q320"/>
  <c r="P321"/>
  <c r="X321"/>
  <c r="Q321"/>
  <c r="X322"/>
  <c r="P322"/>
  <c r="Q322" s="1"/>
  <c r="X323"/>
  <c r="W323"/>
  <c r="Q323"/>
  <c r="P324"/>
  <c r="Q324" s="1"/>
  <c r="X324"/>
  <c r="Y318" l="1"/>
  <c r="Y311"/>
  <c r="Y309"/>
  <c r="Y308"/>
  <c r="Y315"/>
  <c r="Y312"/>
  <c r="Y313"/>
  <c r="Y314"/>
  <c r="Y317"/>
  <c r="Y319"/>
  <c r="Y320"/>
  <c r="Y321"/>
  <c r="Y322"/>
  <c r="Y323"/>
  <c r="Y324"/>
  <c r="X326"/>
  <c r="Q326"/>
  <c r="P327"/>
  <c r="X325"/>
  <c r="P325"/>
  <c r="Q325" s="1"/>
  <c r="P333"/>
  <c r="X332"/>
  <c r="Q332"/>
  <c r="X333"/>
  <c r="Q333"/>
  <c r="P328"/>
  <c r="P329"/>
  <c r="P330"/>
  <c r="P331"/>
  <c r="X327"/>
  <c r="Q327"/>
  <c r="X328"/>
  <c r="Q328"/>
  <c r="X329"/>
  <c r="Q329"/>
  <c r="X330"/>
  <c r="Q330"/>
  <c r="X331"/>
  <c r="Q331"/>
  <c r="P334"/>
  <c r="X334"/>
  <c r="Q334"/>
  <c r="P335"/>
  <c r="X335"/>
  <c r="Q335"/>
  <c r="P336"/>
  <c r="X336"/>
  <c r="Q336"/>
  <c r="X337"/>
  <c r="Q337"/>
  <c r="P338"/>
  <c r="X338"/>
  <c r="Q338"/>
  <c r="X382"/>
  <c r="P382"/>
  <c r="Q382" s="1"/>
  <c r="P381"/>
  <c r="X381"/>
  <c r="Q381"/>
  <c r="X339"/>
  <c r="Q339"/>
  <c r="P340"/>
  <c r="X340"/>
  <c r="Q340"/>
  <c r="X341"/>
  <c r="Q341"/>
  <c r="X342"/>
  <c r="P342"/>
  <c r="Q342" s="1"/>
  <c r="P343"/>
  <c r="Q343" s="1"/>
  <c r="P344"/>
  <c r="Q344" s="1"/>
  <c r="X343"/>
  <c r="X344"/>
  <c r="Z315" l="1"/>
  <c r="Y335"/>
  <c r="Z309"/>
  <c r="Z322"/>
  <c r="Y342"/>
  <c r="Y337"/>
  <c r="Y325"/>
  <c r="Y340"/>
  <c r="Y326"/>
  <c r="Y332"/>
  <c r="Y333"/>
  <c r="Y328"/>
  <c r="Y329"/>
  <c r="Y327"/>
  <c r="Y330"/>
  <c r="Y331"/>
  <c r="Y334"/>
  <c r="Y336"/>
  <c r="Y338"/>
  <c r="Y382"/>
  <c r="Y381"/>
  <c r="Y339"/>
  <c r="Y341"/>
  <c r="Y343"/>
  <c r="Y344"/>
  <c r="Z326" l="1"/>
  <c r="Z338"/>
  <c r="Z344"/>
  <c r="P345"/>
  <c r="Q345" s="1"/>
  <c r="X345"/>
  <c r="Y345" l="1"/>
  <c r="P346" l="1"/>
  <c r="X346"/>
  <c r="Q346"/>
  <c r="X347"/>
  <c r="P347"/>
  <c r="Q347" s="1"/>
  <c r="X348"/>
  <c r="Q348"/>
  <c r="P349"/>
  <c r="X349"/>
  <c r="Q349"/>
  <c r="X351"/>
  <c r="Q351"/>
  <c r="X350"/>
  <c r="Q350"/>
  <c r="P352"/>
  <c r="X352"/>
  <c r="Q352"/>
  <c r="P353"/>
  <c r="X353"/>
  <c r="Q353"/>
  <c r="P354"/>
  <c r="X354"/>
  <c r="Q354"/>
  <c r="X355"/>
  <c r="P355"/>
  <c r="Q355" s="1"/>
  <c r="X356"/>
  <c r="Q356"/>
  <c r="P359"/>
  <c r="X359"/>
  <c r="Q359"/>
  <c r="P358"/>
  <c r="Q358" s="1"/>
  <c r="X358"/>
  <c r="P357"/>
  <c r="Q357" s="1"/>
  <c r="X357"/>
  <c r="X360"/>
  <c r="Q360"/>
  <c r="P361"/>
  <c r="P363"/>
  <c r="Y350" l="1"/>
  <c r="Y351"/>
  <c r="Y346"/>
  <c r="Y347"/>
  <c r="Y348"/>
  <c r="Y349"/>
  <c r="Y352"/>
  <c r="Y353"/>
  <c r="Y354"/>
  <c r="Y355"/>
  <c r="Y356"/>
  <c r="Y359"/>
  <c r="Y358"/>
  <c r="Y357"/>
  <c r="Y360"/>
  <c r="Z360" l="1"/>
  <c r="Z356"/>
  <c r="Z351"/>
  <c r="X361"/>
  <c r="Q361"/>
  <c r="X362"/>
  <c r="P362"/>
  <c r="Q362" s="1"/>
  <c r="Y361" l="1"/>
  <c r="Y362"/>
  <c r="W365"/>
  <c r="X365" s="1"/>
  <c r="Q365"/>
  <c r="W363"/>
  <c r="X363" s="1"/>
  <c r="Q363"/>
  <c r="Y365" l="1"/>
  <c r="Y363"/>
  <c r="P364" l="1"/>
  <c r="X364"/>
  <c r="Q364"/>
  <c r="P366"/>
  <c r="X366"/>
  <c r="Q366"/>
  <c r="P367"/>
  <c r="X367"/>
  <c r="Q367"/>
  <c r="P368"/>
  <c r="X368"/>
  <c r="Q368"/>
  <c r="W369"/>
  <c r="X369" s="1"/>
  <c r="Q369"/>
  <c r="X370"/>
  <c r="P370"/>
  <c r="Q370" s="1"/>
  <c r="P372"/>
  <c r="X372"/>
  <c r="Q372"/>
  <c r="X374"/>
  <c r="P374"/>
  <c r="Q374" s="1"/>
  <c r="P373"/>
  <c r="X373"/>
  <c r="Q373"/>
  <c r="X375"/>
  <c r="Y375" s="1"/>
  <c r="Q375"/>
  <c r="P376"/>
  <c r="X376"/>
  <c r="Q376"/>
  <c r="P377"/>
  <c r="X377"/>
  <c r="Q377"/>
  <c r="W418"/>
  <c r="X378"/>
  <c r="Q378"/>
  <c r="X379"/>
  <c r="P379"/>
  <c r="Q379" s="1"/>
  <c r="Y379" s="1"/>
  <c r="X380"/>
  <c r="P380"/>
  <c r="Q380" s="1"/>
  <c r="X384"/>
  <c r="P384"/>
  <c r="Q384" s="1"/>
  <c r="X383"/>
  <c r="P383"/>
  <c r="Q383" s="1"/>
  <c r="W385"/>
  <c r="X385" s="1"/>
  <c r="P385"/>
  <c r="Q385" s="1"/>
  <c r="P386"/>
  <c r="X386"/>
  <c r="Q386"/>
  <c r="P388"/>
  <c r="X388"/>
  <c r="Q388"/>
  <c r="X389"/>
  <c r="P389"/>
  <c r="Q389" s="1"/>
  <c r="P390"/>
  <c r="X390"/>
  <c r="Q390"/>
  <c r="P391"/>
  <c r="X391"/>
  <c r="Q391"/>
  <c r="X392"/>
  <c r="P392"/>
  <c r="Q392" s="1"/>
  <c r="P393"/>
  <c r="X393"/>
  <c r="Q393"/>
  <c r="W436"/>
  <c r="W477"/>
  <c r="P394"/>
  <c r="X394"/>
  <c r="Q394"/>
  <c r="Y392" l="1"/>
  <c r="Y378"/>
  <c r="Y370"/>
  <c r="Y383"/>
  <c r="Y380"/>
  <c r="Y389"/>
  <c r="Y384"/>
  <c r="Y374"/>
  <c r="Y364"/>
  <c r="Y366"/>
  <c r="Y367"/>
  <c r="Y368"/>
  <c r="Y369"/>
  <c r="Y372"/>
  <c r="Y373"/>
  <c r="Y376"/>
  <c r="Y377"/>
  <c r="Y385"/>
  <c r="Y386"/>
  <c r="Y388"/>
  <c r="Y390"/>
  <c r="Y391"/>
  <c r="Y393"/>
  <c r="Y394"/>
  <c r="Z375" l="1"/>
  <c r="Z393"/>
  <c r="Z387"/>
  <c r="Z379"/>
  <c r="Z369"/>
  <c r="X395"/>
  <c r="P395"/>
  <c r="Q395" s="1"/>
  <c r="P396"/>
  <c r="Q396" s="1"/>
  <c r="P398"/>
  <c r="Q398" s="1"/>
  <c r="P397"/>
  <c r="P399"/>
  <c r="W396"/>
  <c r="X396" s="1"/>
  <c r="W397"/>
  <c r="X397" s="1"/>
  <c r="Q397"/>
  <c r="W398"/>
  <c r="X398" s="1"/>
  <c r="Q420"/>
  <c r="X420"/>
  <c r="X399"/>
  <c r="Q399"/>
  <c r="X400"/>
  <c r="P400"/>
  <c r="Q400" s="1"/>
  <c r="P401"/>
  <c r="X401"/>
  <c r="Q401"/>
  <c r="X404"/>
  <c r="P404"/>
  <c r="Q404" s="1"/>
  <c r="X403"/>
  <c r="P403"/>
  <c r="Q403" s="1"/>
  <c r="X405"/>
  <c r="Q405"/>
  <c r="P406"/>
  <c r="X406"/>
  <c r="Q406"/>
  <c r="X407"/>
  <c r="Q407"/>
  <c r="P408"/>
  <c r="P409"/>
  <c r="X409"/>
  <c r="Q409"/>
  <c r="P410"/>
  <c r="W408"/>
  <c r="X408" s="1"/>
  <c r="Q408"/>
  <c r="W410"/>
  <c r="X410" s="1"/>
  <c r="Q410"/>
  <c r="P411"/>
  <c r="P412"/>
  <c r="Q412" s="1"/>
  <c r="P413"/>
  <c r="X411"/>
  <c r="Q411"/>
  <c r="X412"/>
  <c r="X413"/>
  <c r="Q413"/>
  <c r="Y413" s="1"/>
  <c r="X414"/>
  <c r="P414"/>
  <c r="Q414" s="1"/>
  <c r="P415"/>
  <c r="X415"/>
  <c r="Q415"/>
  <c r="X416"/>
  <c r="Q416"/>
  <c r="P418"/>
  <c r="W417"/>
  <c r="X417" s="1"/>
  <c r="P417"/>
  <c r="Q417" s="1"/>
  <c r="X418"/>
  <c r="Q418"/>
  <c r="P419"/>
  <c r="X419"/>
  <c r="Q419"/>
  <c r="X421"/>
  <c r="P421"/>
  <c r="Q421" s="1"/>
  <c r="X422"/>
  <c r="Q422"/>
  <c r="P423"/>
  <c r="X423"/>
  <c r="Q423"/>
  <c r="P424"/>
  <c r="X424"/>
  <c r="Q424"/>
  <c r="W425"/>
  <c r="X425" s="1"/>
  <c r="Q425"/>
  <c r="P426"/>
  <c r="X426"/>
  <c r="Q426"/>
  <c r="Q428"/>
  <c r="X427"/>
  <c r="P427"/>
  <c r="Q427" s="1"/>
  <c r="X428"/>
  <c r="P429"/>
  <c r="X429"/>
  <c r="Q429"/>
  <c r="P430"/>
  <c r="X430"/>
  <c r="Q430"/>
  <c r="P433"/>
  <c r="X433"/>
  <c r="Q433"/>
  <c r="P432"/>
  <c r="Q432" s="1"/>
  <c r="X432"/>
  <c r="P431"/>
  <c r="Q431" s="1"/>
  <c r="X431"/>
  <c r="Y420" l="1"/>
  <c r="Y414"/>
  <c r="Y404"/>
  <c r="Y400"/>
  <c r="Y395"/>
  <c r="Y415"/>
  <c r="Y403"/>
  <c r="Y398"/>
  <c r="Y396"/>
  <c r="Y397"/>
  <c r="Y412"/>
  <c r="Y399"/>
  <c r="Y401"/>
  <c r="Y405"/>
  <c r="Y406"/>
  <c r="Y407"/>
  <c r="Y409"/>
  <c r="Y408"/>
  <c r="Y410"/>
  <c r="Y411"/>
  <c r="Y416"/>
  <c r="Y417"/>
  <c r="Y421"/>
  <c r="Y418"/>
  <c r="Y419"/>
  <c r="Y422"/>
  <c r="Y423"/>
  <c r="Y424"/>
  <c r="Y425"/>
  <c r="Y427"/>
  <c r="Y426"/>
  <c r="Y428"/>
  <c r="Y429"/>
  <c r="Y430"/>
  <c r="Y433"/>
  <c r="Y432"/>
  <c r="Y431"/>
  <c r="X434"/>
  <c r="Q434"/>
  <c r="P435"/>
  <c r="Q435" s="1"/>
  <c r="P436"/>
  <c r="X435"/>
  <c r="X436"/>
  <c r="Q436"/>
  <c r="Z422" l="1"/>
  <c r="Z417"/>
  <c r="Z408"/>
  <c r="Z427"/>
  <c r="Z398"/>
  <c r="Z433"/>
  <c r="Y434"/>
  <c r="Y435"/>
  <c r="Y436"/>
  <c r="P437"/>
  <c r="X437"/>
  <c r="Q437"/>
  <c r="P438"/>
  <c r="X438"/>
  <c r="Q438"/>
  <c r="P441"/>
  <c r="X441"/>
  <c r="Q441"/>
  <c r="P442"/>
  <c r="X442"/>
  <c r="Q442"/>
  <c r="X440"/>
  <c r="Q440"/>
  <c r="P460"/>
  <c r="X443"/>
  <c r="Q443"/>
  <c r="P444"/>
  <c r="Q444" s="1"/>
  <c r="P446"/>
  <c r="X446"/>
  <c r="Q446"/>
  <c r="X444"/>
  <c r="X447"/>
  <c r="P447"/>
  <c r="Q447" s="1"/>
  <c r="X445"/>
  <c r="P445"/>
  <c r="Q445" s="1"/>
  <c r="P448"/>
  <c r="X448"/>
  <c r="Q448"/>
  <c r="X475"/>
  <c r="P475"/>
  <c r="Q475" s="1"/>
  <c r="W476"/>
  <c r="X476" s="1"/>
  <c r="P476"/>
  <c r="Q476" s="1"/>
  <c r="X474"/>
  <c r="P474"/>
  <c r="Q474" s="1"/>
  <c r="X453"/>
  <c r="P453"/>
  <c r="Q453" s="1"/>
  <c r="P454"/>
  <c r="X454"/>
  <c r="Q454"/>
  <c r="P452"/>
  <c r="X452"/>
  <c r="Q452"/>
  <c r="X450"/>
  <c r="Q450"/>
  <c r="P451"/>
  <c r="X451"/>
  <c r="Q451"/>
  <c r="X449"/>
  <c r="P449"/>
  <c r="Q449" s="1"/>
  <c r="X455"/>
  <c r="Q455"/>
  <c r="X456"/>
  <c r="P456"/>
  <c r="Q456" s="1"/>
  <c r="P457"/>
  <c r="X457"/>
  <c r="Q457"/>
  <c r="X462"/>
  <c r="Q462"/>
  <c r="X459"/>
  <c r="Q459"/>
  <c r="P458"/>
  <c r="Q458" s="1"/>
  <c r="X458"/>
  <c r="Y450" l="1"/>
  <c r="Y453"/>
  <c r="Y459"/>
  <c r="Y462"/>
  <c r="Z436"/>
  <c r="Y456"/>
  <c r="Y475"/>
  <c r="Y449"/>
  <c r="Y445"/>
  <c r="Y437"/>
  <c r="Y438"/>
  <c r="Y441"/>
  <c r="Y442"/>
  <c r="Y440"/>
  <c r="Y443"/>
  <c r="Y444"/>
  <c r="Y446"/>
  <c r="Y447"/>
  <c r="Y448"/>
  <c r="Y474"/>
  <c r="Z475" s="1"/>
  <c r="Y476"/>
  <c r="Y454"/>
  <c r="Y452"/>
  <c r="Y451"/>
  <c r="Y455"/>
  <c r="Y457"/>
  <c r="Y458"/>
  <c r="Z449" l="1"/>
  <c r="Z457"/>
  <c r="W525"/>
  <c r="W539"/>
  <c r="X460"/>
  <c r="Q460"/>
  <c r="P463"/>
  <c r="X461"/>
  <c r="P461"/>
  <c r="Q461" s="1"/>
  <c r="X463"/>
  <c r="Q463"/>
  <c r="P464"/>
  <c r="X464"/>
  <c r="Q464"/>
  <c r="X465"/>
  <c r="Q465"/>
  <c r="W466"/>
  <c r="X466" s="1"/>
  <c r="Q466"/>
  <c r="J1109"/>
  <c r="J1135"/>
  <c r="B1473"/>
  <c r="W510"/>
  <c r="W486"/>
  <c r="W508"/>
  <c r="P468"/>
  <c r="Q468" s="1"/>
  <c r="P467"/>
  <c r="X468"/>
  <c r="X467"/>
  <c r="Q467"/>
  <c r="P469"/>
  <c r="X469"/>
  <c r="Q469"/>
  <c r="P471"/>
  <c r="X471"/>
  <c r="Q471"/>
  <c r="X470"/>
  <c r="Q470"/>
  <c r="X472"/>
  <c r="P472"/>
  <c r="Q472" s="1"/>
  <c r="Y472" s="1"/>
  <c r="X473"/>
  <c r="Q473"/>
  <c r="X492"/>
  <c r="W598"/>
  <c r="W622"/>
  <c r="W597"/>
  <c r="W609"/>
  <c r="W617"/>
  <c r="W631"/>
  <c r="W581"/>
  <c r="W560"/>
  <c r="Q489"/>
  <c r="P510"/>
  <c r="P477"/>
  <c r="X477"/>
  <c r="Q477"/>
  <c r="P479"/>
  <c r="X479"/>
  <c r="Q479"/>
  <c r="P478"/>
  <c r="Q478" s="1"/>
  <c r="X478"/>
  <c r="X480"/>
  <c r="P480"/>
  <c r="Q480" s="1"/>
  <c r="P481"/>
  <c r="X481"/>
  <c r="Q481"/>
  <c r="X482"/>
  <c r="Q482"/>
  <c r="P483"/>
  <c r="Q483" s="1"/>
  <c r="X483"/>
  <c r="Y460" l="1"/>
  <c r="Y463"/>
  <c r="Y461"/>
  <c r="Y464"/>
  <c r="Y465"/>
  <c r="Y470"/>
  <c r="Y466"/>
  <c r="Y468"/>
  <c r="Y467"/>
  <c r="Y469"/>
  <c r="Y471"/>
  <c r="Y473"/>
  <c r="Y477"/>
  <c r="Y479"/>
  <c r="Y478"/>
  <c r="Y480"/>
  <c r="Y481"/>
  <c r="Y482"/>
  <c r="Y483"/>
  <c r="P484"/>
  <c r="Q484" s="1"/>
  <c r="P485"/>
  <c r="Q485" s="1"/>
  <c r="P487"/>
  <c r="X484"/>
  <c r="X485"/>
  <c r="P486"/>
  <c r="Q486" s="1"/>
  <c r="X486"/>
  <c r="Z480" l="1"/>
  <c r="Z473"/>
  <c r="Z465"/>
  <c r="Y484"/>
  <c r="Y485"/>
  <c r="Y486"/>
  <c r="Z486" l="1"/>
  <c r="P490"/>
  <c r="N496"/>
  <c r="N504" s="1"/>
  <c r="X489"/>
  <c r="X490"/>
  <c r="Q490"/>
  <c r="Q487"/>
  <c r="X488"/>
  <c r="Q488"/>
  <c r="P491"/>
  <c r="Q491" s="1"/>
  <c r="X487"/>
  <c r="X491"/>
  <c r="P493"/>
  <c r="Q493" s="1"/>
  <c r="Q492"/>
  <c r="X493"/>
  <c r="X494"/>
  <c r="Q494"/>
  <c r="X495"/>
  <c r="P495"/>
  <c r="Q495" s="1"/>
  <c r="J834"/>
  <c r="X498"/>
  <c r="P498"/>
  <c r="Q498" s="1"/>
  <c r="P497"/>
  <c r="X497"/>
  <c r="Q497"/>
  <c r="P499"/>
  <c r="X499"/>
  <c r="Q499"/>
  <c r="X496"/>
  <c r="P500"/>
  <c r="Q500" s="1"/>
  <c r="X500"/>
  <c r="X501"/>
  <c r="P501"/>
  <c r="Q501" s="1"/>
  <c r="P502"/>
  <c r="Q502" s="1"/>
  <c r="P503"/>
  <c r="X502"/>
  <c r="X503"/>
  <c r="Q503"/>
  <c r="P506"/>
  <c r="X506"/>
  <c r="Q506"/>
  <c r="X507"/>
  <c r="Q507"/>
  <c r="Q510"/>
  <c r="P508"/>
  <c r="X509"/>
  <c r="Q509"/>
  <c r="X508"/>
  <c r="Q508"/>
  <c r="X510"/>
  <c r="X511"/>
  <c r="Q511"/>
  <c r="P512"/>
  <c r="Q512" s="1"/>
  <c r="X512"/>
  <c r="P513"/>
  <c r="X513"/>
  <c r="Q513"/>
  <c r="X514"/>
  <c r="Q514"/>
  <c r="X515"/>
  <c r="P515"/>
  <c r="Q515" s="1"/>
  <c r="X504" l="1"/>
  <c r="P504"/>
  <c r="Q496"/>
  <c r="Y496" s="1"/>
  <c r="Y489"/>
  <c r="Y503"/>
  <c r="Y490"/>
  <c r="Y498"/>
  <c r="Y494"/>
  <c r="Y488"/>
  <c r="Y487"/>
  <c r="Y491"/>
  <c r="Y492"/>
  <c r="Y493"/>
  <c r="Y509"/>
  <c r="Y507"/>
  <c r="Y495"/>
  <c r="Y497"/>
  <c r="Y499"/>
  <c r="Y500"/>
  <c r="Y501"/>
  <c r="Y502"/>
  <c r="Y506"/>
  <c r="Y514"/>
  <c r="Y508"/>
  <c r="Y510"/>
  <c r="Y511"/>
  <c r="Y512"/>
  <c r="Y513"/>
  <c r="Y515"/>
  <c r="Q504" l="1"/>
  <c r="Y504"/>
  <c r="Z514"/>
  <c r="Z503"/>
  <c r="Z504" s="1"/>
  <c r="P516"/>
  <c r="X516"/>
  <c r="Q516"/>
  <c r="X518"/>
  <c r="Q518"/>
  <c r="X517"/>
  <c r="Q517"/>
  <c r="P522"/>
  <c r="P519"/>
  <c r="X519"/>
  <c r="Q519"/>
  <c r="P521"/>
  <c r="X520"/>
  <c r="Q520"/>
  <c r="X521"/>
  <c r="Q521"/>
  <c r="X522"/>
  <c r="Q522"/>
  <c r="P545"/>
  <c r="P523"/>
  <c r="Q523" s="1"/>
  <c r="P524"/>
  <c r="Q524" s="1"/>
  <c r="X523"/>
  <c r="X524"/>
  <c r="P525"/>
  <c r="X525"/>
  <c r="Q525"/>
  <c r="P526"/>
  <c r="X526"/>
  <c r="Q526"/>
  <c r="X527"/>
  <c r="Q527"/>
  <c r="P528"/>
  <c r="X528"/>
  <c r="Q528"/>
  <c r="X531"/>
  <c r="P531"/>
  <c r="Q531" s="1"/>
  <c r="X530"/>
  <c r="P530"/>
  <c r="Q530" s="1"/>
  <c r="X569"/>
  <c r="X568"/>
  <c r="P532"/>
  <c r="X532"/>
  <c r="Q532"/>
  <c r="X535"/>
  <c r="P535"/>
  <c r="Q535" s="1"/>
  <c r="P534"/>
  <c r="X534"/>
  <c r="Q534"/>
  <c r="X536"/>
  <c r="P536"/>
  <c r="Q536" s="1"/>
  <c r="P538"/>
  <c r="X538"/>
  <c r="Q538"/>
  <c r="P539"/>
  <c r="X539"/>
  <c r="Q539"/>
  <c r="P533"/>
  <c r="Q533" s="1"/>
  <c r="X533"/>
  <c r="X540"/>
  <c r="Q540"/>
  <c r="X541"/>
  <c r="P541"/>
  <c r="Q541" s="1"/>
  <c r="X544"/>
  <c r="P544"/>
  <c r="Q544" s="1"/>
  <c r="X542"/>
  <c r="Q542"/>
  <c r="P543"/>
  <c r="X543"/>
  <c r="Q543"/>
  <c r="T834"/>
  <c r="U834"/>
  <c r="V834"/>
  <c r="S834"/>
  <c r="P546"/>
  <c r="Q546" s="1"/>
  <c r="P547"/>
  <c r="X545"/>
  <c r="Q545"/>
  <c r="X547"/>
  <c r="Q547"/>
  <c r="X546"/>
  <c r="P548"/>
  <c r="X548"/>
  <c r="Q548"/>
  <c r="P549"/>
  <c r="X549"/>
  <c r="Q549"/>
  <c r="W624"/>
  <c r="W596"/>
  <c r="W605"/>
  <c r="P550"/>
  <c r="X550"/>
  <c r="Q550"/>
  <c r="X552"/>
  <c r="P552"/>
  <c r="Q552" s="1"/>
  <c r="X553"/>
  <c r="P553"/>
  <c r="Q553" s="1"/>
  <c r="X554"/>
  <c r="Q554"/>
  <c r="P556"/>
  <c r="P557"/>
  <c r="Q557" s="1"/>
  <c r="X558"/>
  <c r="P558"/>
  <c r="Q558" s="1"/>
  <c r="X557"/>
  <c r="X556"/>
  <c r="Q556"/>
  <c r="Y517" l="1"/>
  <c r="Y541"/>
  <c r="Y536"/>
  <c r="Y531"/>
  <c r="Y542"/>
  <c r="Y535"/>
  <c r="Y516"/>
  <c r="Y530"/>
  <c r="Y518"/>
  <c r="Y522"/>
  <c r="Y519"/>
  <c r="Y521"/>
  <c r="Y520"/>
  <c r="Y545"/>
  <c r="Y523"/>
  <c r="Y524"/>
  <c r="Y525"/>
  <c r="Y526"/>
  <c r="Y527"/>
  <c r="Y528"/>
  <c r="Y532"/>
  <c r="Y534"/>
  <c r="Y538"/>
  <c r="Y539"/>
  <c r="Y533"/>
  <c r="Y540"/>
  <c r="Y544"/>
  <c r="Y543"/>
  <c r="Y546"/>
  <c r="Y547"/>
  <c r="Y553"/>
  <c r="Y552"/>
  <c r="Y548"/>
  <c r="Y549"/>
  <c r="Y550"/>
  <c r="Y554"/>
  <c r="Y556"/>
  <c r="Y557"/>
  <c r="Y558"/>
  <c r="P559"/>
  <c r="P560"/>
  <c r="X560"/>
  <c r="Q560"/>
  <c r="W559"/>
  <c r="Q559"/>
  <c r="P561"/>
  <c r="Q561" s="1"/>
  <c r="X561"/>
  <c r="X562"/>
  <c r="Q562"/>
  <c r="Z522" l="1"/>
  <c r="Z533"/>
  <c r="Z549"/>
  <c r="X559"/>
  <c r="Y559" s="1"/>
  <c r="Z558"/>
  <c r="Y560"/>
  <c r="Y561"/>
  <c r="Y562"/>
  <c r="P564" l="1"/>
  <c r="X563"/>
  <c r="Q563"/>
  <c r="X564"/>
  <c r="Q564"/>
  <c r="P568"/>
  <c r="Q568" s="1"/>
  <c r="P566"/>
  <c r="Q566" s="1"/>
  <c r="P565"/>
  <c r="Q565" s="1"/>
  <c r="X566"/>
  <c r="X567"/>
  <c r="P567"/>
  <c r="Q567" s="1"/>
  <c r="X565"/>
  <c r="P569"/>
  <c r="Q569" s="1"/>
  <c r="X570"/>
  <c r="P570"/>
  <c r="Q570" s="1"/>
  <c r="X571"/>
  <c r="Q571"/>
  <c r="P574"/>
  <c r="Q574" s="1"/>
  <c r="X572"/>
  <c r="P572"/>
  <c r="Q572" s="1"/>
  <c r="P573"/>
  <c r="Q573" s="1"/>
  <c r="X574"/>
  <c r="X573"/>
  <c r="P576"/>
  <c r="X575"/>
  <c r="P575"/>
  <c r="Q575" s="1"/>
  <c r="X576"/>
  <c r="Q576"/>
  <c r="P577"/>
  <c r="X577"/>
  <c r="Q577"/>
  <c r="X578"/>
  <c r="Q578"/>
  <c r="P579"/>
  <c r="X579"/>
  <c r="Q579"/>
  <c r="P581"/>
  <c r="Q581" s="1"/>
  <c r="P584"/>
  <c r="P580"/>
  <c r="X580"/>
  <c r="Q580"/>
  <c r="P582"/>
  <c r="Q582" s="1"/>
  <c r="P583"/>
  <c r="Q583" s="1"/>
  <c r="X582"/>
  <c r="X583"/>
  <c r="X584"/>
  <c r="Q584"/>
  <c r="P585"/>
  <c r="X585"/>
  <c r="Q585"/>
  <c r="P591"/>
  <c r="P588"/>
  <c r="X590"/>
  <c r="Q590"/>
  <c r="X588"/>
  <c r="Q588"/>
  <c r="X587"/>
  <c r="Q587"/>
  <c r="X586"/>
  <c r="Q586"/>
  <c r="P597"/>
  <c r="P594"/>
  <c r="P592"/>
  <c r="Q592" s="1"/>
  <c r="X593"/>
  <c r="P593"/>
  <c r="Q593" s="1"/>
  <c r="X591"/>
  <c r="Q591"/>
  <c r="X592"/>
  <c r="X594"/>
  <c r="Q594"/>
  <c r="P595"/>
  <c r="Y570" l="1"/>
  <c r="Y587"/>
  <c r="Y571"/>
  <c r="X581"/>
  <c r="Y581" s="1"/>
  <c r="Y568"/>
  <c r="Y583"/>
  <c r="Y563"/>
  <c r="Y564"/>
  <c r="Y592"/>
  <c r="Y582"/>
  <c r="Y578"/>
  <c r="Y572"/>
  <c r="Y567"/>
  <c r="Y566"/>
  <c r="Y565"/>
  <c r="Y569"/>
  <c r="Y574"/>
  <c r="Y573"/>
  <c r="Y575"/>
  <c r="Y576"/>
  <c r="Y577"/>
  <c r="Y584"/>
  <c r="Y580"/>
  <c r="Y579"/>
  <c r="Y585"/>
  <c r="Y590"/>
  <c r="Y588"/>
  <c r="Y586"/>
  <c r="Y594"/>
  <c r="Y593"/>
  <c r="Y591"/>
  <c r="Z564" l="1"/>
  <c r="Z594"/>
  <c r="Z580"/>
  <c r="X595"/>
  <c r="Q595"/>
  <c r="X596"/>
  <c r="P596"/>
  <c r="Q596" s="1"/>
  <c r="Q597"/>
  <c r="AN834"/>
  <c r="P598"/>
  <c r="X598"/>
  <c r="Q598"/>
  <c r="X599"/>
  <c r="Q599"/>
  <c r="X602"/>
  <c r="P602"/>
  <c r="Q602" s="1"/>
  <c r="X601"/>
  <c r="P601"/>
  <c r="Q601" s="1"/>
  <c r="X603"/>
  <c r="Q603"/>
  <c r="X597" l="1"/>
  <c r="Y597" s="1"/>
  <c r="Y601"/>
  <c r="Y603"/>
  <c r="Y595"/>
  <c r="Y596"/>
  <c r="Y598"/>
  <c r="Y599"/>
  <c r="Y602"/>
  <c r="Z603" l="1"/>
  <c r="P605"/>
  <c r="X605"/>
  <c r="Q605"/>
  <c r="P604"/>
  <c r="X604"/>
  <c r="Q604"/>
  <c r="X606"/>
  <c r="P606"/>
  <c r="Q606" s="1"/>
  <c r="X607"/>
  <c r="P607"/>
  <c r="Q607" s="1"/>
  <c r="X608"/>
  <c r="P608"/>
  <c r="Q608" s="1"/>
  <c r="W662"/>
  <c r="W630"/>
  <c r="W644"/>
  <c r="P609"/>
  <c r="Q609" s="1"/>
  <c r="X611"/>
  <c r="P611"/>
  <c r="Q611" s="1"/>
  <c r="X610"/>
  <c r="P610"/>
  <c r="Q610" s="1"/>
  <c r="P612"/>
  <c r="X612"/>
  <c r="Q612"/>
  <c r="X613"/>
  <c r="P613"/>
  <c r="Q613" s="1"/>
  <c r="O613"/>
  <c r="P614"/>
  <c r="X614"/>
  <c r="Q614"/>
  <c r="P616"/>
  <c r="Q616" s="1"/>
  <c r="P615"/>
  <c r="X615"/>
  <c r="Q615"/>
  <c r="X616"/>
  <c r="W649"/>
  <c r="W665"/>
  <c r="W660"/>
  <c r="P618"/>
  <c r="X618"/>
  <c r="Q618"/>
  <c r="X617"/>
  <c r="P617"/>
  <c r="Q617" s="1"/>
  <c r="P619"/>
  <c r="X619"/>
  <c r="Q619"/>
  <c r="P620"/>
  <c r="X620"/>
  <c r="Q620"/>
  <c r="P621"/>
  <c r="X621"/>
  <c r="Q621"/>
  <c r="P622"/>
  <c r="X622"/>
  <c r="Q622"/>
  <c r="X623"/>
  <c r="P623"/>
  <c r="Q623" s="1"/>
  <c r="P624"/>
  <c r="X624"/>
  <c r="Q624"/>
  <c r="X625"/>
  <c r="P625"/>
  <c r="Q625" s="1"/>
  <c r="X626"/>
  <c r="Q626"/>
  <c r="P627"/>
  <c r="X627"/>
  <c r="Q627"/>
  <c r="P628"/>
  <c r="X628"/>
  <c r="Q628"/>
  <c r="X638"/>
  <c r="Q638"/>
  <c r="P637"/>
  <c r="P635"/>
  <c r="Q635" s="1"/>
  <c r="P630"/>
  <c r="Q630" s="1"/>
  <c r="X629"/>
  <c r="P629"/>
  <c r="Q629" s="1"/>
  <c r="P631"/>
  <c r="Q631" s="1"/>
  <c r="P632"/>
  <c r="X630"/>
  <c r="X631"/>
  <c r="X637"/>
  <c r="Q637"/>
  <c r="X635"/>
  <c r="X633"/>
  <c r="P633"/>
  <c r="Q633" s="1"/>
  <c r="W632"/>
  <c r="X632" s="1"/>
  <c r="Q632"/>
  <c r="Y608" l="1"/>
  <c r="Y607"/>
  <c r="Y613"/>
  <c r="Y625"/>
  <c r="X609"/>
  <c r="Y631"/>
  <c r="Y637"/>
  <c r="Y638"/>
  <c r="Y628"/>
  <c r="Y610"/>
  <c r="Y611"/>
  <c r="Y606"/>
  <c r="Y605"/>
  <c r="Y604"/>
  <c r="Y609"/>
  <c r="Y612"/>
  <c r="Y614"/>
  <c r="Y616"/>
  <c r="Y615"/>
  <c r="Y618"/>
  <c r="Y617"/>
  <c r="Y619"/>
  <c r="Y620"/>
  <c r="Y621"/>
  <c r="Y622"/>
  <c r="Y623"/>
  <c r="Y624"/>
  <c r="Y626"/>
  <c r="Y629"/>
  <c r="Y627"/>
  <c r="Y633"/>
  <c r="Y635"/>
  <c r="Y630"/>
  <c r="Y632"/>
  <c r="P634"/>
  <c r="Q634" s="1"/>
  <c r="X634"/>
  <c r="Z616" l="1"/>
  <c r="Z623"/>
  <c r="Y634"/>
  <c r="Z635" s="1"/>
  <c r="X636" l="1"/>
  <c r="Q636"/>
  <c r="W778"/>
  <c r="W674"/>
  <c r="P639"/>
  <c r="X639"/>
  <c r="Q639"/>
  <c r="X640"/>
  <c r="Q640"/>
  <c r="P641"/>
  <c r="X641"/>
  <c r="Q641"/>
  <c r="P643"/>
  <c r="X643"/>
  <c r="Q643"/>
  <c r="X642"/>
  <c r="P642"/>
  <c r="Q642" s="1"/>
  <c r="N834"/>
  <c r="M834"/>
  <c r="L834"/>
  <c r="P646"/>
  <c r="X646"/>
  <c r="Q646"/>
  <c r="X645"/>
  <c r="Q645"/>
  <c r="X644"/>
  <c r="P644"/>
  <c r="Q644" s="1"/>
  <c r="W685"/>
  <c r="W692"/>
  <c r="W696"/>
  <c r="W718"/>
  <c r="W734"/>
  <c r="W823"/>
  <c r="W843"/>
  <c r="W825"/>
  <c r="W828"/>
  <c r="W855"/>
  <c r="W860"/>
  <c r="W788"/>
  <c r="W866"/>
  <c r="W873"/>
  <c r="W834" l="1"/>
  <c r="Y640"/>
  <c r="Y636"/>
  <c r="Y639"/>
  <c r="Y642"/>
  <c r="Y641"/>
  <c r="Y643"/>
  <c r="Y645"/>
  <c r="Y646"/>
  <c r="Y644"/>
  <c r="X647"/>
  <c r="Q647"/>
  <c r="X650"/>
  <c r="Q650"/>
  <c r="P649"/>
  <c r="X649"/>
  <c r="Q649"/>
  <c r="P648"/>
  <c r="X648"/>
  <c r="Q648"/>
  <c r="X669"/>
  <c r="P653"/>
  <c r="X653"/>
  <c r="Q653"/>
  <c r="P651"/>
  <c r="X651"/>
  <c r="Q651"/>
  <c r="X655"/>
  <c r="Q655"/>
  <c r="P654"/>
  <c r="X654"/>
  <c r="Q654"/>
  <c r="X682"/>
  <c r="X657"/>
  <c r="Q657"/>
  <c r="X656"/>
  <c r="Q656"/>
  <c r="X658"/>
  <c r="P658"/>
  <c r="Q658" s="1"/>
  <c r="X668"/>
  <c r="X659"/>
  <c r="P659"/>
  <c r="Q659" s="1"/>
  <c r="P660"/>
  <c r="X660"/>
  <c r="Q660"/>
  <c r="X661"/>
  <c r="P661"/>
  <c r="Q661" s="1"/>
  <c r="X662"/>
  <c r="P662"/>
  <c r="Q662" s="1"/>
  <c r="P665"/>
  <c r="Q665" s="1"/>
  <c r="X665"/>
  <c r="X664"/>
  <c r="Q664"/>
  <c r="X663"/>
  <c r="P663"/>
  <c r="Q663" s="1"/>
  <c r="Q669"/>
  <c r="Q668"/>
  <c r="X667"/>
  <c r="P667"/>
  <c r="Q667" s="1"/>
  <c r="P666"/>
  <c r="X666"/>
  <c r="Q666"/>
  <c r="Y647" l="1"/>
  <c r="Y661"/>
  <c r="Y666"/>
  <c r="Y658"/>
  <c r="Y656"/>
  <c r="Y669"/>
  <c r="Z643"/>
  <c r="Y653"/>
  <c r="Y650"/>
  <c r="Y649"/>
  <c r="Y648"/>
  <c r="Y668"/>
  <c r="Y651"/>
  <c r="Y655"/>
  <c r="Y654"/>
  <c r="Y657"/>
  <c r="Y659"/>
  <c r="Y660"/>
  <c r="Y662"/>
  <c r="Y665"/>
  <c r="Y664"/>
  <c r="Y663"/>
  <c r="Y667"/>
  <c r="Z669" l="1"/>
  <c r="Z659"/>
  <c r="Z651"/>
  <c r="X672"/>
  <c r="Q672"/>
  <c r="P671"/>
  <c r="Q671" s="1"/>
  <c r="X671"/>
  <c r="X670"/>
  <c r="P670"/>
  <c r="Q670" s="1"/>
  <c r="Y672" l="1"/>
  <c r="Y671"/>
  <c r="Y670"/>
  <c r="X735"/>
  <c r="Q735"/>
  <c r="X673"/>
  <c r="P673"/>
  <c r="Q673" s="1"/>
  <c r="X674"/>
  <c r="P674"/>
  <c r="Q674" s="1"/>
  <c r="X699"/>
  <c r="P699"/>
  <c r="Q699" s="1"/>
  <c r="Y735" l="1"/>
  <c r="Z672"/>
  <c r="Y673"/>
  <c r="Y674"/>
  <c r="Y699"/>
  <c r="X676"/>
  <c r="Q676"/>
  <c r="X679"/>
  <c r="P679"/>
  <c r="Q679" s="1"/>
  <c r="P678"/>
  <c r="Q678" s="1"/>
  <c r="X678"/>
  <c r="P682"/>
  <c r="Q682" s="1"/>
  <c r="Y682" s="1"/>
  <c r="P680"/>
  <c r="Q680" s="1"/>
  <c r="P677"/>
  <c r="Q677" s="1"/>
  <c r="X680"/>
  <c r="X677"/>
  <c r="X675"/>
  <c r="Q675"/>
  <c r="P681"/>
  <c r="X681"/>
  <c r="Q681"/>
  <c r="X683"/>
  <c r="P683"/>
  <c r="Q683" s="1"/>
  <c r="X684"/>
  <c r="P684"/>
  <c r="Q684" s="1"/>
  <c r="X685"/>
  <c r="P685"/>
  <c r="Q685" s="1"/>
  <c r="P710"/>
  <c r="X710"/>
  <c r="Q710"/>
  <c r="P716"/>
  <c r="X721"/>
  <c r="P721"/>
  <c r="Q721" s="1"/>
  <c r="X712"/>
  <c r="Q712"/>
  <c r="X686"/>
  <c r="Q686"/>
  <c r="X694"/>
  <c r="Q694"/>
  <c r="X695"/>
  <c r="Q695"/>
  <c r="P692"/>
  <c r="X692"/>
  <c r="Q692"/>
  <c r="X691"/>
  <c r="P691"/>
  <c r="Q691" s="1"/>
  <c r="P689"/>
  <c r="X693"/>
  <c r="P693"/>
  <c r="Q693" s="1"/>
  <c r="X689"/>
  <c r="Q689"/>
  <c r="P690"/>
  <c r="Q690" s="1"/>
  <c r="P688"/>
  <c r="Q688" s="1"/>
  <c r="X690"/>
  <c r="X688"/>
  <c r="P687"/>
  <c r="X687"/>
  <c r="Q687"/>
  <c r="X698"/>
  <c r="Q698"/>
  <c r="P709"/>
  <c r="X709"/>
  <c r="Q709"/>
  <c r="X704"/>
  <c r="Q704"/>
  <c r="P703"/>
  <c r="X703"/>
  <c r="Q703"/>
  <c r="P701"/>
  <c r="X701"/>
  <c r="Q701"/>
  <c r="P700"/>
  <c r="X700"/>
  <c r="Q700"/>
  <c r="P702"/>
  <c r="X702"/>
  <c r="Q702"/>
  <c r="X697"/>
  <c r="Q697"/>
  <c r="P696"/>
  <c r="X696"/>
  <c r="Q696"/>
  <c r="P717"/>
  <c r="X716"/>
  <c r="Q716"/>
  <c r="X717"/>
  <c r="Q717"/>
  <c r="P718"/>
  <c r="X718"/>
  <c r="Q718"/>
  <c r="P744"/>
  <c r="P715"/>
  <c r="Q715" s="1"/>
  <c r="X715"/>
  <c r="X708"/>
  <c r="P708"/>
  <c r="Q708" s="1"/>
  <c r="Y708" l="1"/>
  <c r="Y695"/>
  <c r="Y676"/>
  <c r="Y698"/>
  <c r="Y691"/>
  <c r="Y694"/>
  <c r="Y693"/>
  <c r="Y685"/>
  <c r="Y683"/>
  <c r="Y679"/>
  <c r="Y678"/>
  <c r="Y680"/>
  <c r="Y677"/>
  <c r="Y675"/>
  <c r="Y681"/>
  <c r="Y684"/>
  <c r="Y710"/>
  <c r="Y716"/>
  <c r="Y721"/>
  <c r="Y712"/>
  <c r="Y686"/>
  <c r="Y692"/>
  <c r="Y689"/>
  <c r="Y690"/>
  <c r="Y688"/>
  <c r="Y687"/>
  <c r="Y709"/>
  <c r="Y704"/>
  <c r="Y703"/>
  <c r="Y701"/>
  <c r="Y700"/>
  <c r="Y702"/>
  <c r="Y697"/>
  <c r="Y696"/>
  <c r="Y717"/>
  <c r="Y718"/>
  <c r="Y715"/>
  <c r="P737"/>
  <c r="X737"/>
  <c r="Q737"/>
  <c r="X730"/>
  <c r="Q730"/>
  <c r="X726"/>
  <c r="P726"/>
  <c r="Q726" s="1"/>
  <c r="P727"/>
  <c r="X727"/>
  <c r="Q727"/>
  <c r="X734"/>
  <c r="P734"/>
  <c r="Q734" s="1"/>
  <c r="X732"/>
  <c r="P732"/>
  <c r="Q732" s="1"/>
  <c r="P725"/>
  <c r="X725"/>
  <c r="Q725"/>
  <c r="X724"/>
  <c r="P724"/>
  <c r="Q724" s="1"/>
  <c r="X779"/>
  <c r="P779"/>
  <c r="Q779" s="1"/>
  <c r="P729"/>
  <c r="X729"/>
  <c r="Q729"/>
  <c r="P736"/>
  <c r="X736"/>
  <c r="Q736"/>
  <c r="X738"/>
  <c r="Q738"/>
  <c r="P740"/>
  <c r="X740"/>
  <c r="Q740"/>
  <c r="X758"/>
  <c r="P758"/>
  <c r="Q758" s="1"/>
  <c r="X761"/>
  <c r="Q761"/>
  <c r="X760"/>
  <c r="Q760"/>
  <c r="X759"/>
  <c r="Q759"/>
  <c r="P757"/>
  <c r="X757"/>
  <c r="Q757"/>
  <c r="X756"/>
  <c r="Q756"/>
  <c r="X748"/>
  <c r="Q748"/>
  <c r="X747"/>
  <c r="Q747"/>
  <c r="X746"/>
  <c r="Q746"/>
  <c r="X745"/>
  <c r="Q745"/>
  <c r="X744"/>
  <c r="Q744"/>
  <c r="X743"/>
  <c r="P743"/>
  <c r="Q743" s="1"/>
  <c r="P742"/>
  <c r="X742"/>
  <c r="Q742"/>
  <c r="X741"/>
  <c r="P741"/>
  <c r="Q741" s="1"/>
  <c r="X750"/>
  <c r="P750"/>
  <c r="Q750" s="1"/>
  <c r="P749"/>
  <c r="X749"/>
  <c r="Q749"/>
  <c r="X755"/>
  <c r="Q755"/>
  <c r="X754"/>
  <c r="Q754"/>
  <c r="X753"/>
  <c r="Q753"/>
  <c r="X752"/>
  <c r="P752"/>
  <c r="Q752" s="1"/>
  <c r="X751"/>
  <c r="P751"/>
  <c r="Q751" s="1"/>
  <c r="Y779" l="1"/>
  <c r="Z695"/>
  <c r="Z686"/>
  <c r="Y753"/>
  <c r="Z721"/>
  <c r="Z708"/>
  <c r="Y752"/>
  <c r="Y750"/>
  <c r="Y751"/>
  <c r="Y743"/>
  <c r="Y738"/>
  <c r="Y724"/>
  <c r="Y732"/>
  <c r="Y744"/>
  <c r="Y759"/>
  <c r="Y737"/>
  <c r="Y730"/>
  <c r="Y726"/>
  <c r="Y727"/>
  <c r="Y734"/>
  <c r="Y725"/>
  <c r="Y729"/>
  <c r="Y736"/>
  <c r="Y740"/>
  <c r="Y758"/>
  <c r="Y761"/>
  <c r="Y760"/>
  <c r="Y757"/>
  <c r="Y756"/>
  <c r="Y748"/>
  <c r="Y747"/>
  <c r="Y746"/>
  <c r="Y745"/>
  <c r="Y742"/>
  <c r="Y741"/>
  <c r="Y749"/>
  <c r="Y755"/>
  <c r="Y754"/>
  <c r="X762"/>
  <c r="Q762"/>
  <c r="P797"/>
  <c r="P763"/>
  <c r="X763"/>
  <c r="Q763"/>
  <c r="P787"/>
  <c r="X764"/>
  <c r="P764"/>
  <c r="Q764" s="1"/>
  <c r="X765"/>
  <c r="Q765"/>
  <c r="P766"/>
  <c r="X766"/>
  <c r="Q766"/>
  <c r="P768"/>
  <c r="X767"/>
  <c r="P767"/>
  <c r="Q767" s="1"/>
  <c r="X768"/>
  <c r="Q768"/>
  <c r="P769"/>
  <c r="X769"/>
  <c r="Q769"/>
  <c r="X770"/>
  <c r="Q770"/>
  <c r="P772"/>
  <c r="X772"/>
  <c r="Q772"/>
  <c r="X771"/>
  <c r="Q771"/>
  <c r="P773"/>
  <c r="X773"/>
  <c r="Q773"/>
  <c r="P774"/>
  <c r="X774"/>
  <c r="Q774"/>
  <c r="P775"/>
  <c r="X775"/>
  <c r="Q775"/>
  <c r="X776"/>
  <c r="Q776"/>
  <c r="X777"/>
  <c r="Q777"/>
  <c r="P778"/>
  <c r="Q778" s="1"/>
  <c r="X778"/>
  <c r="X781"/>
  <c r="Q781"/>
  <c r="X783"/>
  <c r="Q783"/>
  <c r="P782"/>
  <c r="X780"/>
  <c r="P780"/>
  <c r="Q780" s="1"/>
  <c r="X782"/>
  <c r="Q782"/>
  <c r="P784"/>
  <c r="X784"/>
  <c r="Q784"/>
  <c r="P785"/>
  <c r="X785"/>
  <c r="Q785"/>
  <c r="X786"/>
  <c r="Q786"/>
  <c r="X787"/>
  <c r="Q787"/>
  <c r="X788"/>
  <c r="P788"/>
  <c r="Q788" s="1"/>
  <c r="P789"/>
  <c r="X789"/>
  <c r="Q789"/>
  <c r="X797"/>
  <c r="Q797"/>
  <c r="X792"/>
  <c r="Q792"/>
  <c r="P790"/>
  <c r="X790"/>
  <c r="Q790"/>
  <c r="X791"/>
  <c r="Q791"/>
  <c r="X793"/>
  <c r="P793"/>
  <c r="Q793" s="1"/>
  <c r="X794"/>
  <c r="Q794"/>
  <c r="X795"/>
  <c r="Q795"/>
  <c r="X798"/>
  <c r="Q798"/>
  <c r="X796"/>
  <c r="Q796"/>
  <c r="X799"/>
  <c r="Q799"/>
  <c r="X800"/>
  <c r="P800"/>
  <c r="Q800" s="1"/>
  <c r="X802"/>
  <c r="Q802"/>
  <c r="X804"/>
  <c r="Q804"/>
  <c r="Q803"/>
  <c r="X801"/>
  <c r="Q801"/>
  <c r="X806"/>
  <c r="Q806"/>
  <c r="X805"/>
  <c r="Q805"/>
  <c r="X807"/>
  <c r="P807"/>
  <c r="Q807" s="1"/>
  <c r="X808"/>
  <c r="Q808"/>
  <c r="X810"/>
  <c r="P810"/>
  <c r="Q810" s="1"/>
  <c r="X811"/>
  <c r="P811"/>
  <c r="Q811" s="1"/>
  <c r="X809"/>
  <c r="Q809"/>
  <c r="X812"/>
  <c r="P812"/>
  <c r="Q812" s="1"/>
  <c r="X901"/>
  <c r="P901"/>
  <c r="Q901" s="1"/>
  <c r="O901"/>
  <c r="Z740" l="1"/>
  <c r="Z755"/>
  <c r="Y809"/>
  <c r="Y805"/>
  <c r="Y802"/>
  <c r="Y799"/>
  <c r="Y780"/>
  <c r="Y764"/>
  <c r="Y804"/>
  <c r="Y791"/>
  <c r="Y792"/>
  <c r="Y781"/>
  <c r="Y788"/>
  <c r="Y811"/>
  <c r="Y806"/>
  <c r="Y798"/>
  <c r="Y796"/>
  <c r="Y795"/>
  <c r="Y770"/>
  <c r="Y793"/>
  <c r="Y800"/>
  <c r="Y807"/>
  <c r="Y810"/>
  <c r="Y762"/>
  <c r="Y797"/>
  <c r="Y763"/>
  <c r="Y765"/>
  <c r="Y766"/>
  <c r="Y767"/>
  <c r="Y768"/>
  <c r="Y769"/>
  <c r="Y771"/>
  <c r="Y772"/>
  <c r="Y773"/>
  <c r="Y774"/>
  <c r="Y776"/>
  <c r="Y775"/>
  <c r="Y777"/>
  <c r="Y778"/>
  <c r="Y783"/>
  <c r="Y782"/>
  <c r="Y784"/>
  <c r="Y787"/>
  <c r="Y785"/>
  <c r="Y786"/>
  <c r="Y789"/>
  <c r="Y790"/>
  <c r="Y794"/>
  <c r="Y801"/>
  <c r="Y808"/>
  <c r="Y812"/>
  <c r="Y901"/>
  <c r="X803"/>
  <c r="Z763" l="1"/>
  <c r="Z778"/>
  <c r="Z799"/>
  <c r="Y803"/>
  <c r="X813" l="1"/>
  <c r="Q813"/>
  <c r="P814"/>
  <c r="X814"/>
  <c r="Q814"/>
  <c r="X815"/>
  <c r="Q815"/>
  <c r="X816"/>
  <c r="Q816"/>
  <c r="P817"/>
  <c r="X817"/>
  <c r="Q817"/>
  <c r="J1059"/>
  <c r="X836"/>
  <c r="W1059"/>
  <c r="U1059"/>
  <c r="T1059"/>
  <c r="S1059"/>
  <c r="N1059"/>
  <c r="M1059"/>
  <c r="L1059"/>
  <c r="X818"/>
  <c r="P818"/>
  <c r="Q818" s="1"/>
  <c r="P823"/>
  <c r="X823"/>
  <c r="Q823"/>
  <c r="P822"/>
  <c r="X822"/>
  <c r="Q822"/>
  <c r="P821"/>
  <c r="Q821" s="1"/>
  <c r="P820"/>
  <c r="Q820" s="1"/>
  <c r="X821"/>
  <c r="X820"/>
  <c r="X819"/>
  <c r="Q819"/>
  <c r="X824"/>
  <c r="Q824"/>
  <c r="P825"/>
  <c r="X825"/>
  <c r="Q825"/>
  <c r="X826"/>
  <c r="Q826"/>
  <c r="X827"/>
  <c r="Q827"/>
  <c r="P828"/>
  <c r="X828"/>
  <c r="Q828"/>
  <c r="P829"/>
  <c r="X829"/>
  <c r="Q829"/>
  <c r="X830"/>
  <c r="Q830"/>
  <c r="X831"/>
  <c r="P831"/>
  <c r="Q831" s="1"/>
  <c r="P832"/>
  <c r="Q832" s="1"/>
  <c r="P833"/>
  <c r="X832"/>
  <c r="X833"/>
  <c r="X859"/>
  <c r="Q859"/>
  <c r="P836"/>
  <c r="Q836" s="1"/>
  <c r="X837"/>
  <c r="Q837"/>
  <c r="X838"/>
  <c r="P838"/>
  <c r="Q838" s="1"/>
  <c r="P839"/>
  <c r="X839"/>
  <c r="Q839"/>
  <c r="X840"/>
  <c r="Q840"/>
  <c r="P841"/>
  <c r="X841"/>
  <c r="Q841"/>
  <c r="X842"/>
  <c r="Q842"/>
  <c r="X843"/>
  <c r="P843"/>
  <c r="Q843" s="1"/>
  <c r="X844"/>
  <c r="Q844"/>
  <c r="X845"/>
  <c r="Q845"/>
  <c r="P847"/>
  <c r="X846"/>
  <c r="Q846"/>
  <c r="X847"/>
  <c r="Q847"/>
  <c r="P848"/>
  <c r="X848"/>
  <c r="Q848"/>
  <c r="P849"/>
  <c r="X849"/>
  <c r="Q849"/>
  <c r="X850"/>
  <c r="Q850"/>
  <c r="X851"/>
  <c r="Q851"/>
  <c r="X852"/>
  <c r="P852"/>
  <c r="Q852" s="1"/>
  <c r="P853"/>
  <c r="Q853" s="1"/>
  <c r="P854"/>
  <c r="Q854" s="1"/>
  <c r="X853"/>
  <c r="X854"/>
  <c r="X867"/>
  <c r="P867"/>
  <c r="Q867" s="1"/>
  <c r="X855"/>
  <c r="P855"/>
  <c r="Q855" s="1"/>
  <c r="X856"/>
  <c r="Q856"/>
  <c r="X857"/>
  <c r="Q857"/>
  <c r="P858"/>
  <c r="X858"/>
  <c r="Q858"/>
  <c r="P860"/>
  <c r="X860"/>
  <c r="Q860"/>
  <c r="O860"/>
  <c r="P861"/>
  <c r="X861"/>
  <c r="Q861"/>
  <c r="X862"/>
  <c r="Q862"/>
  <c r="P863"/>
  <c r="Q863" s="1"/>
  <c r="X863"/>
  <c r="O863"/>
  <c r="X834" l="1"/>
  <c r="Q833"/>
  <c r="Q834" s="1"/>
  <c r="P834"/>
  <c r="Y862"/>
  <c r="Y856"/>
  <c r="Y837"/>
  <c r="Y855"/>
  <c r="AA855" s="1"/>
  <c r="Y813"/>
  <c r="Y845"/>
  <c r="Y841"/>
  <c r="Y830"/>
  <c r="Y827"/>
  <c r="Y824"/>
  <c r="Y838"/>
  <c r="Y846"/>
  <c r="Y843"/>
  <c r="AA843" s="1"/>
  <c r="Y839"/>
  <c r="Y819"/>
  <c r="Y836"/>
  <c r="Y814"/>
  <c r="Y815"/>
  <c r="Y816"/>
  <c r="Y817"/>
  <c r="Y861"/>
  <c r="Y818"/>
  <c r="Y823"/>
  <c r="Y822"/>
  <c r="Y821"/>
  <c r="Y820"/>
  <c r="Y825"/>
  <c r="Y826"/>
  <c r="Y828"/>
  <c r="Y829"/>
  <c r="Y831"/>
  <c r="Y832"/>
  <c r="Y833"/>
  <c r="Y859"/>
  <c r="Y857"/>
  <c r="Y840"/>
  <c r="Y842"/>
  <c r="Y844"/>
  <c r="Y867"/>
  <c r="Y852"/>
  <c r="Y863"/>
  <c r="Y853"/>
  <c r="Y847"/>
  <c r="Y848"/>
  <c r="Y849"/>
  <c r="Y850"/>
  <c r="Y851"/>
  <c r="Y854"/>
  <c r="Y858"/>
  <c r="Y860"/>
  <c r="AA860" s="1"/>
  <c r="P866"/>
  <c r="X866"/>
  <c r="Q866"/>
  <c r="O866"/>
  <c r="P865"/>
  <c r="X865"/>
  <c r="Q865"/>
  <c r="X864"/>
  <c r="Q864"/>
  <c r="X869"/>
  <c r="Q869"/>
  <c r="P868"/>
  <c r="X868"/>
  <c r="Q868"/>
  <c r="X870"/>
  <c r="Q870"/>
  <c r="X871"/>
  <c r="Q871"/>
  <c r="O871"/>
  <c r="X872"/>
  <c r="Q872"/>
  <c r="O872"/>
  <c r="X879"/>
  <c r="P879"/>
  <c r="Q879" s="1"/>
  <c r="P873"/>
  <c r="X873"/>
  <c r="Q873"/>
  <c r="O873"/>
  <c r="X874"/>
  <c r="Q874"/>
  <c r="X877"/>
  <c r="Q877"/>
  <c r="X878"/>
  <c r="Q878"/>
  <c r="X880"/>
  <c r="Q880"/>
  <c r="P876"/>
  <c r="Q876" s="1"/>
  <c r="P881"/>
  <c r="Q881" s="1"/>
  <c r="X876"/>
  <c r="X881"/>
  <c r="O881"/>
  <c r="X882"/>
  <c r="Q882"/>
  <c r="O882"/>
  <c r="X875"/>
  <c r="Q875"/>
  <c r="X883"/>
  <c r="Q883"/>
  <c r="O1057"/>
  <c r="O1056"/>
  <c r="O1055"/>
  <c r="O1054"/>
  <c r="O1053"/>
  <c r="O1052"/>
  <c r="O1050"/>
  <c r="O1049"/>
  <c r="O1048"/>
  <c r="O1045"/>
  <c r="O1044"/>
  <c r="O1043"/>
  <c r="O1042"/>
  <c r="O1041"/>
  <c r="O1039"/>
  <c r="O1037"/>
  <c r="O1036"/>
  <c r="O1034"/>
  <c r="O1031"/>
  <c r="O1030"/>
  <c r="O1029"/>
  <c r="O1027"/>
  <c r="O1026"/>
  <c r="O1024"/>
  <c r="O1023"/>
  <c r="O1022"/>
  <c r="O1021"/>
  <c r="O1019"/>
  <c r="O1018"/>
  <c r="O1017"/>
  <c r="O1016"/>
  <c r="O1015"/>
  <c r="O1014"/>
  <c r="O1009"/>
  <c r="O1008"/>
  <c r="O1007"/>
  <c r="O1006"/>
  <c r="O1003"/>
  <c r="O1002"/>
  <c r="O1001"/>
  <c r="O1000"/>
  <c r="O999"/>
  <c r="O998"/>
  <c r="O997"/>
  <c r="O996"/>
  <c r="O995"/>
  <c r="O994"/>
  <c r="O993"/>
  <c r="O992"/>
  <c r="O991"/>
  <c r="O990"/>
  <c r="O988"/>
  <c r="O986"/>
  <c r="O985"/>
  <c r="O984"/>
  <c r="O982"/>
  <c r="O978"/>
  <c r="O977"/>
  <c r="O976"/>
  <c r="O974"/>
  <c r="O970"/>
  <c r="P974"/>
  <c r="P976"/>
  <c r="P977"/>
  <c r="P978"/>
  <c r="O969"/>
  <c r="O968"/>
  <c r="O966"/>
  <c r="O965"/>
  <c r="O964"/>
  <c r="O960"/>
  <c r="O959"/>
  <c r="O958"/>
  <c r="O957"/>
  <c r="O955"/>
  <c r="O954"/>
  <c r="O953"/>
  <c r="O952"/>
  <c r="O951"/>
  <c r="O950"/>
  <c r="O948"/>
  <c r="O947"/>
  <c r="O944"/>
  <c r="O943"/>
  <c r="O942"/>
  <c r="O941"/>
  <c r="O940"/>
  <c r="O938"/>
  <c r="O937"/>
  <c r="O936"/>
  <c r="O933"/>
  <c r="O929"/>
  <c r="O926"/>
  <c r="O925"/>
  <c r="O924"/>
  <c r="O923"/>
  <c r="O921"/>
  <c r="O919"/>
  <c r="O918"/>
  <c r="O917"/>
  <c r="O916"/>
  <c r="O915"/>
  <c r="P913"/>
  <c r="O913"/>
  <c r="O909"/>
  <c r="O907"/>
  <c r="O906"/>
  <c r="O905"/>
  <c r="O904"/>
  <c r="O903"/>
  <c r="O902"/>
  <c r="O899"/>
  <c r="O898"/>
  <c r="O897"/>
  <c r="O896"/>
  <c r="O895"/>
  <c r="O894"/>
  <c r="O893"/>
  <c r="O892"/>
  <c r="O891"/>
  <c r="O890"/>
  <c r="O888"/>
  <c r="O885"/>
  <c r="Q884"/>
  <c r="X884"/>
  <c r="X885"/>
  <c r="P885"/>
  <c r="X887"/>
  <c r="Q887"/>
  <c r="X886"/>
  <c r="Q886"/>
  <c r="P888"/>
  <c r="X888"/>
  <c r="Q888"/>
  <c r="X889"/>
  <c r="Q889"/>
  <c r="X890"/>
  <c r="P890"/>
  <c r="Q890" s="1"/>
  <c r="P891"/>
  <c r="X891"/>
  <c r="Q891"/>
  <c r="P892"/>
  <c r="X892"/>
  <c r="Q892"/>
  <c r="X893"/>
  <c r="P893"/>
  <c r="Q893" s="1"/>
  <c r="P894"/>
  <c r="X894"/>
  <c r="Q894"/>
  <c r="X895"/>
  <c r="P895"/>
  <c r="Q895" s="1"/>
  <c r="X896"/>
  <c r="P896"/>
  <c r="Q896" s="1"/>
  <c r="Y872" l="1"/>
  <c r="Z833"/>
  <c r="Y834"/>
  <c r="K834" s="1"/>
  <c r="Z817"/>
  <c r="Y886"/>
  <c r="O1059"/>
  <c r="Y878"/>
  <c r="Y875"/>
  <c r="Y896"/>
  <c r="Y879"/>
  <c r="Y895"/>
  <c r="Q885"/>
  <c r="Y885" s="1"/>
  <c r="Y869"/>
  <c r="Y866"/>
  <c r="AA866" s="1"/>
  <c r="Y865"/>
  <c r="Y864"/>
  <c r="Y868"/>
  <c r="Y870"/>
  <c r="Y871"/>
  <c r="Y873"/>
  <c r="AA873" s="1"/>
  <c r="Y874"/>
  <c r="Y877"/>
  <c r="Y880"/>
  <c r="Y876"/>
  <c r="Y881"/>
  <c r="Y882"/>
  <c r="Y883"/>
  <c r="Y884"/>
  <c r="Y887"/>
  <c r="Y888"/>
  <c r="Y890"/>
  <c r="Y889"/>
  <c r="Y891"/>
  <c r="AA891" s="1"/>
  <c r="Y892"/>
  <c r="Y893"/>
  <c r="Y894"/>
  <c r="AA894" s="1"/>
  <c r="P898"/>
  <c r="X898"/>
  <c r="Q898"/>
  <c r="P897"/>
  <c r="X897"/>
  <c r="Q897"/>
  <c r="X900"/>
  <c r="Q900"/>
  <c r="X899"/>
  <c r="P899"/>
  <c r="Q899" s="1"/>
  <c r="X902"/>
  <c r="P902"/>
  <c r="Q902" s="1"/>
  <c r="X903"/>
  <c r="P903"/>
  <c r="Q903" s="1"/>
  <c r="P904"/>
  <c r="X904"/>
  <c r="Q904"/>
  <c r="P905"/>
  <c r="Q905" s="1"/>
  <c r="X905"/>
  <c r="X906"/>
  <c r="P906"/>
  <c r="Q906" s="1"/>
  <c r="Z834" l="1"/>
  <c r="Y899"/>
  <c r="Y902"/>
  <c r="AA902" s="1"/>
  <c r="Y898"/>
  <c r="Y897"/>
  <c r="AA897" s="1"/>
  <c r="Y900"/>
  <c r="Y903"/>
  <c r="Y904"/>
  <c r="Y905"/>
  <c r="Y906"/>
  <c r="P907"/>
  <c r="X907"/>
  <c r="Q907"/>
  <c r="X908"/>
  <c r="Q908"/>
  <c r="X910"/>
  <c r="Q910"/>
  <c r="X909"/>
  <c r="P909"/>
  <c r="Q909" s="1"/>
  <c r="X911"/>
  <c r="Q911"/>
  <c r="X912"/>
  <c r="Q912"/>
  <c r="X913"/>
  <c r="Q913"/>
  <c r="X914"/>
  <c r="Q914"/>
  <c r="X915"/>
  <c r="P915"/>
  <c r="Q915" s="1"/>
  <c r="X916"/>
  <c r="P916"/>
  <c r="Q916" s="1"/>
  <c r="P917"/>
  <c r="X917"/>
  <c r="Q917"/>
  <c r="X918"/>
  <c r="P918"/>
  <c r="Q918" s="1"/>
  <c r="X919"/>
  <c r="P919"/>
  <c r="Q919" s="1"/>
  <c r="X920"/>
  <c r="Q920"/>
  <c r="X921"/>
  <c r="P921"/>
  <c r="Q921" s="1"/>
  <c r="X922"/>
  <c r="Q922"/>
  <c r="P923"/>
  <c r="X923"/>
  <c r="Q923"/>
  <c r="X925"/>
  <c r="P925"/>
  <c r="Q925" s="1"/>
  <c r="P926"/>
  <c r="X926"/>
  <c r="Q926"/>
  <c r="X928"/>
  <c r="Q928"/>
  <c r="P924"/>
  <c r="X924"/>
  <c r="Q924"/>
  <c r="X929"/>
  <c r="P929"/>
  <c r="Q929" s="1"/>
  <c r="Y917" l="1"/>
  <c r="AA917" s="1"/>
  <c r="Y914"/>
  <c r="Y909"/>
  <c r="Y910"/>
  <c r="Z910" s="1"/>
  <c r="Y907"/>
  <c r="Z907" s="1"/>
  <c r="Y908"/>
  <c r="Z908" s="1"/>
  <c r="Y929"/>
  <c r="Y919"/>
  <c r="Y915"/>
  <c r="Y928"/>
  <c r="Y925"/>
  <c r="Y921"/>
  <c r="Y918"/>
  <c r="Y916"/>
  <c r="Y913"/>
  <c r="Y911"/>
  <c r="Y912"/>
  <c r="Z912" s="1"/>
  <c r="Y920"/>
  <c r="Z920" s="1"/>
  <c r="Y922"/>
  <c r="Z922" s="1"/>
  <c r="Y923"/>
  <c r="Z923" s="1"/>
  <c r="Y926"/>
  <c r="AA926" s="1"/>
  <c r="Y924"/>
  <c r="AA913" l="1"/>
  <c r="X927"/>
  <c r="Q927"/>
  <c r="X930"/>
  <c r="Q930"/>
  <c r="X931"/>
  <c r="Q931"/>
  <c r="X932"/>
  <c r="Q932"/>
  <c r="X933"/>
  <c r="P933"/>
  <c r="Q933" s="1"/>
  <c r="X934"/>
  <c r="Q934"/>
  <c r="X938"/>
  <c r="P938"/>
  <c r="Q938" s="1"/>
  <c r="P936"/>
  <c r="Q936" s="1"/>
  <c r="P937"/>
  <c r="Q937" s="1"/>
  <c r="X935"/>
  <c r="Q935"/>
  <c r="X936"/>
  <c r="X937"/>
  <c r="X939"/>
  <c r="Q939"/>
  <c r="P940"/>
  <c r="X940"/>
  <c r="Q940"/>
  <c r="P941"/>
  <c r="X941"/>
  <c r="Q941"/>
  <c r="X942"/>
  <c r="P942"/>
  <c r="Q942" s="1"/>
  <c r="P943"/>
  <c r="X943"/>
  <c r="Q943"/>
  <c r="X944"/>
  <c r="P944"/>
  <c r="Q944" s="1"/>
  <c r="X945"/>
  <c r="Q945"/>
  <c r="X946"/>
  <c r="Q946"/>
  <c r="X947"/>
  <c r="P947"/>
  <c r="Q947" s="1"/>
  <c r="X948"/>
  <c r="P948"/>
  <c r="Q948" s="1"/>
  <c r="X949"/>
  <c r="Q949"/>
  <c r="P959"/>
  <c r="X959"/>
  <c r="Q959"/>
  <c r="X953"/>
  <c r="P953"/>
  <c r="Q953" s="1"/>
  <c r="X952"/>
  <c r="P952"/>
  <c r="Q952" s="1"/>
  <c r="X958"/>
  <c r="P958"/>
  <c r="Q958" s="1"/>
  <c r="X956"/>
  <c r="Q956"/>
  <c r="X957"/>
  <c r="P957"/>
  <c r="Q957" s="1"/>
  <c r="P955"/>
  <c r="X955"/>
  <c r="Q955"/>
  <c r="P954"/>
  <c r="Q954" s="1"/>
  <c r="X954"/>
  <c r="P951"/>
  <c r="Q951" s="1"/>
  <c r="X951"/>
  <c r="P950"/>
  <c r="Q950" s="1"/>
  <c r="X950"/>
  <c r="Y933" l="1"/>
  <c r="Y932"/>
  <c r="Z932" s="1"/>
  <c r="Y953"/>
  <c r="Y944"/>
  <c r="Y941"/>
  <c r="AA941" s="1"/>
  <c r="Y927"/>
  <c r="Y957"/>
  <c r="Z957" s="1"/>
  <c r="Y930"/>
  <c r="Z930" s="1"/>
  <c r="Y931"/>
  <c r="Z931" s="1"/>
  <c r="Y934"/>
  <c r="Y942"/>
  <c r="Y940"/>
  <c r="Y938"/>
  <c r="Y939"/>
  <c r="Z939" s="1"/>
  <c r="Y935"/>
  <c r="Z935" s="1"/>
  <c r="Y936"/>
  <c r="Z936" s="1"/>
  <c r="Y937"/>
  <c r="Z937" s="1"/>
  <c r="Y943"/>
  <c r="Z943" s="1"/>
  <c r="Y945"/>
  <c r="Z945" s="1"/>
  <c r="Y946"/>
  <c r="AA946" s="1"/>
  <c r="Y959"/>
  <c r="Z959" s="1"/>
  <c r="Y947"/>
  <c r="Z947" s="1"/>
  <c r="Y958"/>
  <c r="Y952"/>
  <c r="Y948"/>
  <c r="Z948" s="1"/>
  <c r="Y949"/>
  <c r="Z949" s="1"/>
  <c r="Y956"/>
  <c r="AA956" s="1"/>
  <c r="Y955"/>
  <c r="Z955" s="1"/>
  <c r="Y954"/>
  <c r="Z954" s="1"/>
  <c r="Y951"/>
  <c r="Z951" s="1"/>
  <c r="Y950"/>
  <c r="Z950" s="1"/>
  <c r="X960"/>
  <c r="P960"/>
  <c r="Q960" s="1"/>
  <c r="X961"/>
  <c r="Q961"/>
  <c r="Q962"/>
  <c r="X962"/>
  <c r="X963"/>
  <c r="Q963"/>
  <c r="P964"/>
  <c r="Q964" s="1"/>
  <c r="X964"/>
  <c r="X966"/>
  <c r="P966"/>
  <c r="Q966" s="1"/>
  <c r="X965"/>
  <c r="P965"/>
  <c r="Q965" s="1"/>
  <c r="X967"/>
  <c r="Q967"/>
  <c r="X968"/>
  <c r="P968"/>
  <c r="Q968" s="1"/>
  <c r="X969"/>
  <c r="P969"/>
  <c r="Q969" s="1"/>
  <c r="X970"/>
  <c r="P970"/>
  <c r="Q970" s="1"/>
  <c r="X971"/>
  <c r="Q971"/>
  <c r="X1007"/>
  <c r="X972"/>
  <c r="Q972"/>
  <c r="Q974"/>
  <c r="X974"/>
  <c r="X973"/>
  <c r="Q973"/>
  <c r="X975"/>
  <c r="Q975"/>
  <c r="X976"/>
  <c r="Q976"/>
  <c r="X977"/>
  <c r="Q977"/>
  <c r="X978"/>
  <c r="Q978"/>
  <c r="P982"/>
  <c r="Q982" s="1"/>
  <c r="X982"/>
  <c r="X980"/>
  <c r="Q980"/>
  <c r="X981"/>
  <c r="Q981"/>
  <c r="X979"/>
  <c r="Q979"/>
  <c r="X983"/>
  <c r="Q983"/>
  <c r="X984"/>
  <c r="P984"/>
  <c r="Q984" s="1"/>
  <c r="X985"/>
  <c r="P985"/>
  <c r="Q985" s="1"/>
  <c r="X986"/>
  <c r="P986"/>
  <c r="Q986" s="1"/>
  <c r="X987"/>
  <c r="Q987"/>
  <c r="X988"/>
  <c r="P988"/>
  <c r="Q988" s="1"/>
  <c r="X1006"/>
  <c r="Q989"/>
  <c r="X989"/>
  <c r="X990"/>
  <c r="P990"/>
  <c r="Q990" s="1"/>
  <c r="X991"/>
  <c r="P991"/>
  <c r="Q991" s="1"/>
  <c r="X992"/>
  <c r="P992"/>
  <c r="Q992" s="1"/>
  <c r="X993"/>
  <c r="P993"/>
  <c r="Q993" s="1"/>
  <c r="X995"/>
  <c r="P995"/>
  <c r="Q995" s="1"/>
  <c r="X994"/>
  <c r="P994"/>
  <c r="Q994" s="1"/>
  <c r="X996"/>
  <c r="P996"/>
  <c r="Q996" s="1"/>
  <c r="Z927" l="1"/>
  <c r="Y982"/>
  <c r="Y975"/>
  <c r="Z975" s="1"/>
  <c r="Y980"/>
  <c r="AA980" s="1"/>
  <c r="Y968"/>
  <c r="AA968" s="1"/>
  <c r="Y983"/>
  <c r="Z983" s="1"/>
  <c r="Y961"/>
  <c r="Y960"/>
  <c r="Y994"/>
  <c r="Y984"/>
  <c r="AA984" s="1"/>
  <c r="Y981"/>
  <c r="AA981" s="1"/>
  <c r="Y978"/>
  <c r="Y976"/>
  <c r="Y985"/>
  <c r="Z985" s="1"/>
  <c r="Y977"/>
  <c r="Y974"/>
  <c r="Y966"/>
  <c r="Y962"/>
  <c r="Z962" s="1"/>
  <c r="Y963"/>
  <c r="Z963" s="1"/>
  <c r="Y971"/>
  <c r="Z971" s="1"/>
  <c r="Y969"/>
  <c r="Y967"/>
  <c r="AA967" s="1"/>
  <c r="Y972"/>
  <c r="Z972" s="1"/>
  <c r="Y970"/>
  <c r="Y965"/>
  <c r="Y964"/>
  <c r="AA964" s="1"/>
  <c r="Y973"/>
  <c r="Z973" s="1"/>
  <c r="Y979"/>
  <c r="Z979" s="1"/>
  <c r="Y993"/>
  <c r="AA993" s="1"/>
  <c r="Y991"/>
  <c r="Y986"/>
  <c r="Y996"/>
  <c r="Z996" s="1"/>
  <c r="Y995"/>
  <c r="Y992"/>
  <c r="AA992" s="1"/>
  <c r="Y990"/>
  <c r="Y988"/>
  <c r="Y987"/>
  <c r="Y989"/>
  <c r="X997"/>
  <c r="P997"/>
  <c r="Q997" s="1"/>
  <c r="Z974" l="1"/>
  <c r="Y997"/>
  <c r="X998"/>
  <c r="P998"/>
  <c r="Q998" s="1"/>
  <c r="X999"/>
  <c r="P999"/>
  <c r="Q999" s="1"/>
  <c r="X1000"/>
  <c r="P1000"/>
  <c r="Q1000" s="1"/>
  <c r="X1002"/>
  <c r="X1001"/>
  <c r="P1001"/>
  <c r="Q1001" s="1"/>
  <c r="P1002"/>
  <c r="Q1002" s="1"/>
  <c r="X1005"/>
  <c r="Q1005"/>
  <c r="P1003"/>
  <c r="Q1003" s="1"/>
  <c r="X1003"/>
  <c r="X1004"/>
  <c r="Q1004"/>
  <c r="P1006"/>
  <c r="Q1006" s="1"/>
  <c r="Y1006" s="1"/>
  <c r="P1007"/>
  <c r="Q1007" s="1"/>
  <c r="Y1007" s="1"/>
  <c r="Y999" l="1"/>
  <c r="Y1005"/>
  <c r="AA1005" s="1"/>
  <c r="Y1002"/>
  <c r="Y1004"/>
  <c r="Z1004" s="1"/>
  <c r="Y1001"/>
  <c r="Y1000"/>
  <c r="Y998"/>
  <c r="Y1003"/>
  <c r="Z1003" s="1"/>
  <c r="X1008"/>
  <c r="P1008"/>
  <c r="Q1008" s="1"/>
  <c r="P1009"/>
  <c r="X1009"/>
  <c r="Q1009"/>
  <c r="X1011"/>
  <c r="Q1011"/>
  <c r="X1010"/>
  <c r="Q1010"/>
  <c r="X1012"/>
  <c r="Q1012"/>
  <c r="X1013"/>
  <c r="Q1013"/>
  <c r="X1014"/>
  <c r="P1014"/>
  <c r="Q1014" s="1"/>
  <c r="X1015"/>
  <c r="P1015"/>
  <c r="Q1015" s="1"/>
  <c r="X1016"/>
  <c r="P1016"/>
  <c r="Q1016" s="1"/>
  <c r="X1017"/>
  <c r="P1017"/>
  <c r="Q1017" s="1"/>
  <c r="Z998" l="1"/>
  <c r="Y1016"/>
  <c r="Y1010"/>
  <c r="Z1010" s="1"/>
  <c r="Y1011"/>
  <c r="AA1011" s="1"/>
  <c r="Y1008"/>
  <c r="AA1008" s="1"/>
  <c r="Y1015"/>
  <c r="Y1009"/>
  <c r="AA1009" s="1"/>
  <c r="Y1017"/>
  <c r="AA1017" s="1"/>
  <c r="Y1014"/>
  <c r="Y1013"/>
  <c r="Y1012"/>
  <c r="Z1012" s="1"/>
  <c r="X1018"/>
  <c r="P1018"/>
  <c r="Q1018" s="1"/>
  <c r="X1024"/>
  <c r="X1019"/>
  <c r="P1019"/>
  <c r="Q1019" s="1"/>
  <c r="X1020"/>
  <c r="Q1020"/>
  <c r="X1030"/>
  <c r="X1028"/>
  <c r="X1029"/>
  <c r="P1021"/>
  <c r="Q1021" s="1"/>
  <c r="P1024"/>
  <c r="Q1024" s="1"/>
  <c r="X1022"/>
  <c r="P1022"/>
  <c r="Q1022" s="1"/>
  <c r="X1023"/>
  <c r="P1023"/>
  <c r="Q1023" s="1"/>
  <c r="X1027"/>
  <c r="P1031"/>
  <c r="X1025"/>
  <c r="Q1025"/>
  <c r="X1026"/>
  <c r="P1026"/>
  <c r="Q1026" s="1"/>
  <c r="P1027"/>
  <c r="Q1027" s="1"/>
  <c r="Q1028"/>
  <c r="P1029"/>
  <c r="Q1029" s="1"/>
  <c r="P1030"/>
  <c r="Q1030" s="1"/>
  <c r="X1054"/>
  <c r="X1053"/>
  <c r="X1031"/>
  <c r="Q1031"/>
  <c r="X1032"/>
  <c r="Q1032"/>
  <c r="X1033"/>
  <c r="Q1033"/>
  <c r="X1037"/>
  <c r="X1036"/>
  <c r="X1034"/>
  <c r="P1034"/>
  <c r="Q1034" s="1"/>
  <c r="X1035"/>
  <c r="Q1035"/>
  <c r="P1036"/>
  <c r="Q1036" s="1"/>
  <c r="Y1030" l="1"/>
  <c r="Y1025"/>
  <c r="AA1025" s="1"/>
  <c r="Y1023"/>
  <c r="AA1023" s="1"/>
  <c r="Y1026"/>
  <c r="Z1026" s="1"/>
  <c r="Y1018"/>
  <c r="Y1035"/>
  <c r="Z1035" s="1"/>
  <c r="Y1033"/>
  <c r="Y1032"/>
  <c r="Y1027"/>
  <c r="Y1029"/>
  <c r="Y1019"/>
  <c r="Y1036"/>
  <c r="Z1036" s="1"/>
  <c r="Y1022"/>
  <c r="AA1022" s="1"/>
  <c r="Y1028"/>
  <c r="Z1028" s="1"/>
  <c r="Y1020"/>
  <c r="Y1024"/>
  <c r="Y1031"/>
  <c r="Y1034"/>
  <c r="P1037"/>
  <c r="Q1037" s="1"/>
  <c r="Y1037" s="1"/>
  <c r="X1039" l="1"/>
  <c r="X1042"/>
  <c r="X1038"/>
  <c r="Q1038"/>
  <c r="X1045"/>
  <c r="Y1038" l="1"/>
  <c r="AA1038" s="1"/>
  <c r="P1039"/>
  <c r="Q1039" s="1"/>
  <c r="Y1039" s="1"/>
  <c r="X1046"/>
  <c r="Q1046"/>
  <c r="X1048"/>
  <c r="X1049"/>
  <c r="X1041"/>
  <c r="P1041"/>
  <c r="Q1041" s="1"/>
  <c r="P1042"/>
  <c r="Q1042" s="1"/>
  <c r="Y1042" s="1"/>
  <c r="X1043"/>
  <c r="P1043"/>
  <c r="Q1043" s="1"/>
  <c r="X1044"/>
  <c r="P1044"/>
  <c r="Q1044" s="1"/>
  <c r="P1045"/>
  <c r="Q1045" s="1"/>
  <c r="Y1045" s="1"/>
  <c r="Y1043" l="1"/>
  <c r="AA1043" s="1"/>
  <c r="Y1044"/>
  <c r="AA1044" s="1"/>
  <c r="Y1041"/>
  <c r="Y1046"/>
  <c r="AA1046" s="1"/>
  <c r="X1047"/>
  <c r="Q1047"/>
  <c r="Y1047" l="1"/>
  <c r="AA1047" s="1"/>
  <c r="AA1059" s="1"/>
  <c r="P1049"/>
  <c r="Q1049" s="1"/>
  <c r="Y1049" s="1"/>
  <c r="P1048"/>
  <c r="Q1048" s="1"/>
  <c r="Y1048" s="1"/>
  <c r="Z1048" s="1"/>
  <c r="X1052"/>
  <c r="X1050"/>
  <c r="P1050"/>
  <c r="Q1050" s="1"/>
  <c r="X1051"/>
  <c r="Q1051"/>
  <c r="P1052"/>
  <c r="Q1052" s="1"/>
  <c r="Y1051" l="1"/>
  <c r="Y1050"/>
  <c r="Y1052"/>
  <c r="P1053"/>
  <c r="Q1053" s="1"/>
  <c r="Y1053" s="1"/>
  <c r="Z1053" s="1"/>
  <c r="X1066"/>
  <c r="X1065"/>
  <c r="P1054"/>
  <c r="Q1054" s="1"/>
  <c r="Y1054" s="1"/>
  <c r="Z1054" s="1"/>
  <c r="X1055"/>
  <c r="P1055"/>
  <c r="Q1055" s="1"/>
  <c r="X1056"/>
  <c r="P1056"/>
  <c r="Q1056" s="1"/>
  <c r="Z1059" l="1"/>
  <c r="Y1055"/>
  <c r="Y1056"/>
  <c r="X1067"/>
  <c r="X1057"/>
  <c r="P1057"/>
  <c r="P1059" s="1"/>
  <c r="X1063"/>
  <c r="X1064"/>
  <c r="X1061"/>
  <c r="Q1061"/>
  <c r="X1062"/>
  <c r="P1062"/>
  <c r="Q1062" s="1"/>
  <c r="X1058"/>
  <c r="X1059" s="1"/>
  <c r="Q1058"/>
  <c r="Q1057" l="1"/>
  <c r="Q1059" s="1"/>
  <c r="Y1058"/>
  <c r="Y1061"/>
  <c r="Y1062"/>
  <c r="X1069"/>
  <c r="P1065"/>
  <c r="Q1065" s="1"/>
  <c r="Y1065" s="1"/>
  <c r="Q1066"/>
  <c r="Y1066" s="1"/>
  <c r="P1064"/>
  <c r="Q1064" s="1"/>
  <c r="Y1064" s="1"/>
  <c r="P1063"/>
  <c r="Q1063" s="1"/>
  <c r="Y1063" s="1"/>
  <c r="X1070"/>
  <c r="X1072"/>
  <c r="X1073"/>
  <c r="X1082"/>
  <c r="P1067"/>
  <c r="Q1067" s="1"/>
  <c r="Y1067" s="1"/>
  <c r="W1083"/>
  <c r="X1078"/>
  <c r="Y1057" l="1"/>
  <c r="Y1059"/>
  <c r="P1070"/>
  <c r="Q1070" s="1"/>
  <c r="Y1070" s="1"/>
  <c r="Q1072"/>
  <c r="Y1072" s="1"/>
  <c r="X1071"/>
  <c r="P1071"/>
  <c r="Q1071" s="1"/>
  <c r="Q1069"/>
  <c r="Y1069" s="1"/>
  <c r="X1074"/>
  <c r="P1074"/>
  <c r="Q1074" s="1"/>
  <c r="X1105"/>
  <c r="Q1105"/>
  <c r="X1068"/>
  <c r="P1068"/>
  <c r="Q1068" s="1"/>
  <c r="Y1068" l="1"/>
  <c r="Y1105"/>
  <c r="Y1074"/>
  <c r="Y1071"/>
  <c r="P1073"/>
  <c r="Q1073" s="1"/>
  <c r="Y1073" s="1"/>
  <c r="P1078"/>
  <c r="Q1078" s="1"/>
  <c r="Y1078" s="1"/>
  <c r="X1075"/>
  <c r="P1075"/>
  <c r="Q1075" s="1"/>
  <c r="X1076"/>
  <c r="Q1076"/>
  <c r="X1077"/>
  <c r="Q1077"/>
  <c r="Y1075" l="1"/>
  <c r="Y1077"/>
  <c r="Y1076"/>
  <c r="X1080"/>
  <c r="P1080"/>
  <c r="Q1080" s="1"/>
  <c r="Q1082"/>
  <c r="Y1082" s="1"/>
  <c r="X1081"/>
  <c r="P1081"/>
  <c r="Q1081" s="1"/>
  <c r="X1079"/>
  <c r="X1083"/>
  <c r="P1079"/>
  <c r="Q1079" s="1"/>
  <c r="P1083"/>
  <c r="Q1083" s="1"/>
  <c r="Y1080" l="1"/>
  <c r="Y1083"/>
  <c r="Y1081"/>
  <c r="Y1079"/>
  <c r="P1084"/>
  <c r="Q1084" s="1"/>
  <c r="X1084"/>
  <c r="X1085"/>
  <c r="P1085"/>
  <c r="Q1085" s="1"/>
  <c r="Y1084" l="1"/>
  <c r="Y1085"/>
  <c r="X1087"/>
  <c r="P1087"/>
  <c r="Q1087" s="1"/>
  <c r="X1128"/>
  <c r="P1128"/>
  <c r="Q1128" s="1"/>
  <c r="X1088"/>
  <c r="P1088"/>
  <c r="Q1088" s="1"/>
  <c r="Y1128" l="1"/>
  <c r="Y1088"/>
  <c r="Y1087"/>
  <c r="X1089"/>
  <c r="P1089"/>
  <c r="Q1089" s="1"/>
  <c r="X1090"/>
  <c r="P1090"/>
  <c r="Q1090" s="1"/>
  <c r="X1091"/>
  <c r="P1091"/>
  <c r="Q1091" s="1"/>
  <c r="Y1090" l="1"/>
  <c r="Y1091"/>
  <c r="Y1089"/>
  <c r="X1092"/>
  <c r="P1092"/>
  <c r="Q1092" s="1"/>
  <c r="P1093"/>
  <c r="Q1095"/>
  <c r="X1093"/>
  <c r="X1094"/>
  <c r="Q1094"/>
  <c r="X1096"/>
  <c r="Q1096"/>
  <c r="X1122"/>
  <c r="Q1122"/>
  <c r="Y1122" l="1"/>
  <c r="Y1096"/>
  <c r="Y1094"/>
  <c r="Y1092"/>
  <c r="X1099"/>
  <c r="P1099"/>
  <c r="Q1099" s="1"/>
  <c r="X1100"/>
  <c r="Q1100"/>
  <c r="Y1099" l="1"/>
  <c r="Y1100"/>
  <c r="X1095"/>
  <c r="Y1095" s="1"/>
  <c r="X1102"/>
  <c r="P1102"/>
  <c r="Q1102" s="1"/>
  <c r="X1103"/>
  <c r="Q1103"/>
  <c r="Y1103" l="1"/>
  <c r="Y1102"/>
  <c r="X1101"/>
  <c r="P1101"/>
  <c r="Q1101" s="1"/>
  <c r="Y1101" l="1"/>
  <c r="X1106"/>
  <c r="P1106"/>
  <c r="Q1106" s="1"/>
  <c r="X1104"/>
  <c r="P1104"/>
  <c r="Q1104" s="1"/>
  <c r="X1107"/>
  <c r="P1107"/>
  <c r="Q1107" s="1"/>
  <c r="X1108"/>
  <c r="Q1108"/>
  <c r="Y1107" l="1"/>
  <c r="Y1106"/>
  <c r="Y1108"/>
  <c r="Y1104"/>
  <c r="X1113"/>
  <c r="X1111"/>
  <c r="P1111"/>
  <c r="Q1111" s="1"/>
  <c r="Y1111" l="1"/>
  <c r="P1113"/>
  <c r="Q1113" s="1"/>
  <c r="Y1113" s="1"/>
  <c r="X1114"/>
  <c r="X1115"/>
  <c r="X1116"/>
  <c r="X1117" l="1"/>
  <c r="X1118"/>
  <c r="P1131"/>
  <c r="X1131"/>
  <c r="Q1131"/>
  <c r="X1120"/>
  <c r="P1120"/>
  <c r="Q1120" s="1"/>
  <c r="Q1116"/>
  <c r="Y1116" s="1"/>
  <c r="X1119"/>
  <c r="P1119"/>
  <c r="Q1119" s="1"/>
  <c r="Q1118"/>
  <c r="Q1117"/>
  <c r="P1115"/>
  <c r="Q1115" s="1"/>
  <c r="Y1115" s="1"/>
  <c r="Q1114"/>
  <c r="Y1114" s="1"/>
  <c r="Y1120" l="1"/>
  <c r="Y1118"/>
  <c r="Y1119"/>
  <c r="Y1117"/>
  <c r="Y1131"/>
  <c r="X1121"/>
  <c r="P1121"/>
  <c r="Q1121" s="1"/>
  <c r="Y1121" l="1"/>
  <c r="X1124"/>
  <c r="X1123"/>
  <c r="P1123"/>
  <c r="Q1123" s="1"/>
  <c r="P1124"/>
  <c r="Q1124" s="1"/>
  <c r="X1126"/>
  <c r="P1126"/>
  <c r="Q1126" s="1"/>
  <c r="Y1123" l="1"/>
  <c r="Y1126"/>
  <c r="Y1124"/>
  <c r="X1127"/>
  <c r="Q1127"/>
  <c r="Y1127" l="1"/>
  <c r="X1129"/>
  <c r="Q1129"/>
  <c r="Y1129" l="1"/>
  <c r="X1130"/>
  <c r="Q1130"/>
  <c r="Y1130" l="1"/>
  <c r="X1134"/>
  <c r="Q1134"/>
  <c r="Y1134" l="1"/>
  <c r="X1133"/>
  <c r="Q1133"/>
  <c r="X1137"/>
  <c r="Q1137"/>
  <c r="Q1132"/>
  <c r="X1132"/>
  <c r="X1138"/>
  <c r="Q1138"/>
  <c r="X1142"/>
  <c r="Q1142"/>
  <c r="Y1142" l="1"/>
  <c r="Y1133"/>
  <c r="Y1137"/>
  <c r="Y1138"/>
  <c r="Y1132"/>
  <c r="X1140"/>
  <c r="Q1140"/>
  <c r="X1141"/>
  <c r="Q1141"/>
  <c r="Z1134" l="1"/>
  <c r="Y1141"/>
  <c r="Y1140"/>
  <c r="X1143"/>
  <c r="Q1143"/>
  <c r="X1144"/>
  <c r="Q1144"/>
  <c r="X1145"/>
  <c r="Q1145"/>
  <c r="X1147"/>
  <c r="Q1147"/>
  <c r="Y1143" l="1"/>
  <c r="Y1145"/>
  <c r="Y1144"/>
  <c r="Y1147"/>
  <c r="X1150"/>
  <c r="Q1150"/>
  <c r="X1146"/>
  <c r="Q1146"/>
  <c r="X1156"/>
  <c r="Q1156"/>
  <c r="Y1146" l="1"/>
  <c r="Y1150"/>
  <c r="Y1156"/>
  <c r="X1148"/>
  <c r="Q1148"/>
  <c r="X1149"/>
  <c r="Q1149"/>
  <c r="X1153"/>
  <c r="Q1153"/>
  <c r="X1151"/>
  <c r="Q1151"/>
  <c r="X1152"/>
  <c r="Q1152"/>
  <c r="Y1152" l="1"/>
  <c r="Y1151"/>
  <c r="Y1148"/>
  <c r="Y1149"/>
  <c r="Y1153"/>
  <c r="X1154"/>
  <c r="Q1154"/>
  <c r="X1155"/>
  <c r="X1157"/>
  <c r="Q1157"/>
  <c r="Q1155"/>
  <c r="Y1155" l="1"/>
  <c r="Y1154"/>
  <c r="Y1157"/>
  <c r="X1158"/>
  <c r="Q1158"/>
  <c r="Y1158" l="1"/>
  <c r="Q1160"/>
  <c r="X1161"/>
  <c r="Q1161"/>
  <c r="X1163"/>
  <c r="Q1163"/>
  <c r="Y1163" l="1"/>
  <c r="Y1161"/>
  <c r="Z1161" s="1"/>
  <c r="X1165"/>
  <c r="Q1165"/>
  <c r="Y1165" l="1"/>
  <c r="X1166"/>
  <c r="Q1166"/>
  <c r="Y1166" l="1"/>
  <c r="X1170"/>
  <c r="Q1170"/>
  <c r="X1169"/>
  <c r="Q1169"/>
  <c r="Y1169" l="1"/>
  <c r="Y1170"/>
  <c r="X1172"/>
  <c r="Q1172"/>
  <c r="X1173"/>
  <c r="Q1173"/>
  <c r="X1174"/>
  <c r="Q1174"/>
  <c r="X1178"/>
  <c r="Q1178"/>
  <c r="X1176"/>
  <c r="Q1176"/>
  <c r="Y1174" l="1"/>
  <c r="Y1173"/>
  <c r="Y1176"/>
  <c r="Y1178"/>
  <c r="Y1172"/>
  <c r="X1179"/>
  <c r="Q1179"/>
  <c r="X1181"/>
  <c r="Q1181"/>
  <c r="X1182"/>
  <c r="Q1182"/>
  <c r="X1183"/>
  <c r="Q1183"/>
  <c r="X1184"/>
  <c r="Q1184"/>
  <c r="Y1182" l="1"/>
  <c r="Y1179"/>
  <c r="Y1181"/>
  <c r="Y1183"/>
  <c r="Y1184"/>
  <c r="S1186"/>
  <c r="X1186" s="1"/>
  <c r="Q1186"/>
  <c r="Y1186" l="1"/>
  <c r="X1188"/>
  <c r="Q1188"/>
  <c r="S1189"/>
  <c r="X1189" s="1"/>
  <c r="Q1189"/>
  <c r="X1191"/>
  <c r="Q1191"/>
  <c r="X1207"/>
  <c r="Q1207"/>
  <c r="S1208"/>
  <c r="X1208" s="1"/>
  <c r="Q1208"/>
  <c r="S1200"/>
  <c r="X1200" s="1"/>
  <c r="Q1200"/>
  <c r="X1192"/>
  <c r="Y1192" s="1"/>
  <c r="Q1192"/>
  <c r="X1193"/>
  <c r="Q1193"/>
  <c r="X1194"/>
  <c r="Q1194"/>
  <c r="Y1208" l="1"/>
  <c r="Y1189"/>
  <c r="Y1188"/>
  <c r="Y1194"/>
  <c r="Y1191"/>
  <c r="Y1200"/>
  <c r="Y1207"/>
  <c r="Y1193"/>
  <c r="X1196"/>
  <c r="Q1196"/>
  <c r="X1199"/>
  <c r="Q1199"/>
  <c r="Q1205"/>
  <c r="Y1199" l="1"/>
  <c r="Y1196"/>
  <c r="X1210"/>
  <c r="Q1210"/>
  <c r="X1212"/>
  <c r="Q1212"/>
  <c r="Q1211"/>
  <c r="X1214"/>
  <c r="Q1214"/>
  <c r="X1216"/>
  <c r="Q1216"/>
  <c r="X1217"/>
  <c r="Q1217"/>
  <c r="Y1214" l="1"/>
  <c r="Y1216"/>
  <c r="Y1217"/>
  <c r="Y1212"/>
  <c r="Y1210"/>
  <c r="X1219"/>
  <c r="Q1219"/>
  <c r="Y1219" l="1"/>
  <c r="Z1232"/>
  <c r="X1225"/>
  <c r="Q1225"/>
  <c r="X1226"/>
  <c r="Q1226"/>
  <c r="Y1226" l="1"/>
  <c r="Y1225"/>
  <c r="Z1225" s="1"/>
  <c r="X1235"/>
  <c r="Q1235"/>
  <c r="X1237"/>
  <c r="Q1237"/>
  <c r="Y1237" l="1"/>
  <c r="Y1235"/>
  <c r="Z1235" s="1"/>
  <c r="X1238"/>
  <c r="Q1238"/>
  <c r="X1242"/>
  <c r="Q1242"/>
  <c r="X1240"/>
  <c r="Q1240"/>
  <c r="Y1240" l="1"/>
  <c r="Z1240" s="1"/>
  <c r="Y1242"/>
  <c r="Y1238"/>
  <c r="X1244"/>
  <c r="Q1244"/>
  <c r="Y1244" l="1"/>
  <c r="Z1244" s="1"/>
  <c r="X1248"/>
  <c r="Q1248"/>
  <c r="X1253"/>
  <c r="X1252"/>
  <c r="Q1252"/>
  <c r="Q1253"/>
  <c r="X1247"/>
  <c r="Q1247"/>
  <c r="X1246"/>
  <c r="Q1246"/>
  <c r="X1258"/>
  <c r="Q1258"/>
  <c r="Q1260"/>
  <c r="Y1258" l="1"/>
  <c r="Z1258" s="1"/>
  <c r="Y1252"/>
  <c r="Y1246"/>
  <c r="Z1246" s="1"/>
  <c r="Y1247"/>
  <c r="Z1247" s="1"/>
  <c r="Y1253"/>
  <c r="Y1248"/>
  <c r="X1261"/>
  <c r="Q1261"/>
  <c r="Y1261" l="1"/>
  <c r="X1264"/>
  <c r="X1267"/>
  <c r="Q1267" l="1"/>
  <c r="Y1267" s="1"/>
  <c r="Q1266"/>
  <c r="Q1263"/>
  <c r="Q1264"/>
  <c r="Y1264" s="1"/>
  <c r="X1271"/>
  <c r="Q1271"/>
  <c r="X1272"/>
  <c r="Q1272"/>
  <c r="X1274"/>
  <c r="Q1274"/>
  <c r="X1278"/>
  <c r="Q1278"/>
  <c r="X1276"/>
  <c r="Q1276"/>
  <c r="Y1276" l="1"/>
  <c r="Z1276" s="1"/>
  <c r="Y1278"/>
  <c r="Y1274"/>
  <c r="Y1272"/>
  <c r="Z1272" s="1"/>
  <c r="Y1271"/>
  <c r="X1280"/>
  <c r="Q1280"/>
  <c r="Y1280" l="1"/>
  <c r="X1282"/>
  <c r="Q1282"/>
  <c r="X1283"/>
  <c r="Q1283"/>
  <c r="X1285"/>
  <c r="Q1285"/>
  <c r="Y1285" l="1"/>
  <c r="Y1283"/>
  <c r="Y1282"/>
  <c r="X1290"/>
  <c r="Q1290"/>
  <c r="Y1290" l="1"/>
  <c r="X1286"/>
  <c r="Q1286"/>
  <c r="Y1286" l="1"/>
  <c r="Z1286" s="1"/>
  <c r="AA1287" s="1"/>
  <c r="X1292"/>
  <c r="Q1292"/>
  <c r="X1293"/>
  <c r="X1295"/>
  <c r="Q1293"/>
  <c r="Q1295"/>
  <c r="Y1295" l="1"/>
  <c r="Y1293"/>
  <c r="Y1292"/>
  <c r="C1374"/>
  <c r="B1374"/>
  <c r="X1297"/>
  <c r="Q1297"/>
  <c r="Q1299"/>
  <c r="Y1297" l="1"/>
  <c r="AA1297" s="1"/>
  <c r="X1303"/>
  <c r="Q1303"/>
  <c r="Y1303" l="1"/>
  <c r="Z1297"/>
  <c r="X1305"/>
  <c r="Q1305"/>
  <c r="X1307"/>
  <c r="Q1307"/>
  <c r="X1309"/>
  <c r="Q1309"/>
  <c r="Y1307" l="1"/>
  <c r="Y1309"/>
  <c r="AA1309" s="1"/>
  <c r="Y1305"/>
  <c r="Z1309"/>
  <c r="X1313"/>
  <c r="Q1313"/>
  <c r="Y1313" s="1"/>
  <c r="X1314"/>
  <c r="Q1314"/>
  <c r="Y1314" s="1"/>
  <c r="X1316"/>
  <c r="Q1316"/>
  <c r="AA1313" l="1"/>
  <c r="Z1313"/>
  <c r="Y1316"/>
  <c r="X1319"/>
  <c r="Q1319"/>
  <c r="X1318"/>
  <c r="Q1318"/>
  <c r="Y1318" l="1"/>
  <c r="Y1319"/>
  <c r="X1321"/>
  <c r="Q1321"/>
  <c r="X1323"/>
  <c r="X1330"/>
  <c r="Q1330"/>
  <c r="Q1322"/>
  <c r="Q1323"/>
  <c r="X1322"/>
  <c r="Y1321" l="1"/>
  <c r="Y1323"/>
  <c r="Y1330"/>
  <c r="Y1322"/>
  <c r="X1325"/>
  <c r="Q1325"/>
  <c r="X1327"/>
  <c r="Q1327"/>
  <c r="X1328"/>
  <c r="Q1328"/>
  <c r="X1329"/>
  <c r="Q1329"/>
  <c r="Y1329" l="1"/>
  <c r="Y1328"/>
  <c r="Y1327"/>
  <c r="Y1325"/>
  <c r="X1342"/>
  <c r="Q1342"/>
  <c r="X1340"/>
  <c r="X1332"/>
  <c r="Y1342" l="1"/>
  <c r="Q1332"/>
  <c r="Y1332" s="1"/>
  <c r="X1333"/>
  <c r="Q1333"/>
  <c r="X1335"/>
  <c r="Q1335"/>
  <c r="Q1338"/>
  <c r="X1338"/>
  <c r="Y1338" l="1"/>
  <c r="Y1335"/>
  <c r="Y1333"/>
  <c r="X1337"/>
  <c r="Q1337"/>
  <c r="Y1337" l="1"/>
  <c r="X1339"/>
  <c r="Q1339"/>
  <c r="Q1340"/>
  <c r="Y1340" s="1"/>
  <c r="Y1339" l="1"/>
  <c r="X1343"/>
  <c r="Q1343"/>
  <c r="Y1343" l="1"/>
  <c r="W1345"/>
  <c r="X1345" s="1"/>
  <c r="Q1345"/>
  <c r="W1349"/>
  <c r="X1349" s="1"/>
  <c r="X1350"/>
  <c r="X1352"/>
  <c r="X1347"/>
  <c r="Q1347"/>
  <c r="W1348"/>
  <c r="X1348" s="1"/>
  <c r="Q1348"/>
  <c r="Q1349"/>
  <c r="Q1350"/>
  <c r="X1351"/>
  <c r="Q1351"/>
  <c r="X1360"/>
  <c r="Q1352"/>
  <c r="Y1345" l="1"/>
  <c r="AA1345" s="1"/>
  <c r="Y1349"/>
  <c r="Y1352"/>
  <c r="Y1351"/>
  <c r="Y1348"/>
  <c r="AA1348" s="1"/>
  <c r="Y1347"/>
  <c r="Y1350"/>
  <c r="X1354"/>
  <c r="Q1354"/>
  <c r="Y1354" l="1"/>
  <c r="X1356"/>
  <c r="Q1356"/>
  <c r="X1358"/>
  <c r="Q1358"/>
  <c r="Q1360"/>
  <c r="Y1360" s="1"/>
  <c r="Q1359"/>
  <c r="X1359"/>
  <c r="X1362"/>
  <c r="Q1362"/>
  <c r="X1364"/>
  <c r="Q1364"/>
  <c r="X1365"/>
  <c r="Q1365"/>
  <c r="X1367"/>
  <c r="Q1367"/>
  <c r="X1368"/>
  <c r="Q1368"/>
  <c r="X1371"/>
  <c r="X1369"/>
  <c r="Q1369"/>
  <c r="Q1371"/>
  <c r="X1372"/>
  <c r="Q1372"/>
  <c r="X1373"/>
  <c r="Q1373"/>
  <c r="Q1375"/>
  <c r="X1375"/>
  <c r="Y1358" l="1"/>
  <c r="Y1356"/>
  <c r="Y1373"/>
  <c r="Y1372"/>
  <c r="Y1371"/>
  <c r="Y1368"/>
  <c r="Y1367"/>
  <c r="Y1365"/>
  <c r="Y1364"/>
  <c r="Y1362"/>
  <c r="Y1369"/>
  <c r="Y1359"/>
  <c r="Y1375"/>
  <c r="Z1374" l="1"/>
  <c r="Z1365"/>
  <c r="AA1365"/>
  <c r="Z1372"/>
  <c r="AA1372"/>
  <c r="AA1374" s="1"/>
  <c r="AA1369"/>
  <c r="Z1369"/>
  <c r="X1376"/>
  <c r="Q1376"/>
  <c r="X1377"/>
  <c r="Q1377"/>
  <c r="X1379"/>
  <c r="Q1379"/>
  <c r="Y1377" l="1"/>
  <c r="Y1376"/>
  <c r="Y1379"/>
  <c r="X1380"/>
  <c r="Q1380"/>
  <c r="X1382"/>
  <c r="Q1382"/>
  <c r="X1384"/>
  <c r="Q1384"/>
  <c r="X1385"/>
  <c r="Q1385"/>
  <c r="X1388"/>
  <c r="Q1388"/>
  <c r="X1387"/>
  <c r="Q1387"/>
  <c r="X1390"/>
  <c r="Q1390"/>
  <c r="X1392"/>
  <c r="X1391"/>
  <c r="Q1391"/>
  <c r="Q1392"/>
  <c r="X1394"/>
  <c r="Q1394"/>
  <c r="X1396"/>
  <c r="Q1396"/>
  <c r="X1402"/>
  <c r="X1400"/>
  <c r="Q1400"/>
  <c r="Q1402"/>
  <c r="X1404"/>
  <c r="Q1404"/>
  <c r="X1405"/>
  <c r="Q1405"/>
  <c r="X1409"/>
  <c r="Q1409"/>
  <c r="X1410"/>
  <c r="Q1410"/>
  <c r="X1425"/>
  <c r="X1423"/>
  <c r="X1416"/>
  <c r="X1412"/>
  <c r="Q1412"/>
  <c r="X1422"/>
  <c r="Q1422"/>
  <c r="Q1423"/>
  <c r="Y1423" s="1"/>
  <c r="X1418"/>
  <c r="Q1417"/>
  <c r="Q1416"/>
  <c r="Q1415"/>
  <c r="X1417"/>
  <c r="X1415"/>
  <c r="X1414"/>
  <c r="Q1414"/>
  <c r="Q1418"/>
  <c r="Q1426"/>
  <c r="X1426"/>
  <c r="X1427"/>
  <c r="Q1427"/>
  <c r="Q1425"/>
  <c r="X1429"/>
  <c r="Q1429"/>
  <c r="X1433"/>
  <c r="Q1433"/>
  <c r="X1431"/>
  <c r="Q1431"/>
  <c r="X1434"/>
  <c r="Q1434"/>
  <c r="X1436"/>
  <c r="Q1436"/>
  <c r="X1440"/>
  <c r="Q1439"/>
  <c r="X1439"/>
  <c r="X1438"/>
  <c r="Q1438"/>
  <c r="Q1440"/>
  <c r="X1442"/>
  <c r="Q1442"/>
  <c r="X1445"/>
  <c r="Q1445"/>
  <c r="X1449"/>
  <c r="Q1448"/>
  <c r="X1448"/>
  <c r="X1446"/>
  <c r="Q1446"/>
  <c r="Q1449"/>
  <c r="X1451"/>
  <c r="Q1451"/>
  <c r="X1452"/>
  <c r="Q1452"/>
  <c r="X1453"/>
  <c r="Q1453"/>
  <c r="W1598"/>
  <c r="X1480"/>
  <c r="X1541"/>
  <c r="X1530"/>
  <c r="X1537"/>
  <c r="X1549"/>
  <c r="X1548"/>
  <c r="X1572"/>
  <c r="X1570"/>
  <c r="X1565"/>
  <c r="X1513"/>
  <c r="X1521"/>
  <c r="X1584"/>
  <c r="X1493"/>
  <c r="X1536"/>
  <c r="X1569"/>
  <c r="X1581"/>
  <c r="X1588"/>
  <c r="X1594"/>
  <c r="X1586"/>
  <c r="X1593"/>
  <c r="X1504"/>
  <c r="X1528"/>
  <c r="X1532"/>
  <c r="X1568"/>
  <c r="X1595"/>
  <c r="X1482"/>
  <c r="X1492"/>
  <c r="X1496"/>
  <c r="X1527"/>
  <c r="X1546"/>
  <c r="X1459"/>
  <c r="X1457"/>
  <c r="Q1457"/>
  <c r="Q1456"/>
  <c r="X1456"/>
  <c r="X1455"/>
  <c r="Q1455"/>
  <c r="X1458"/>
  <c r="Q1458"/>
  <c r="Q1459"/>
  <c r="Q1462"/>
  <c r="X1461"/>
  <c r="Q1461"/>
  <c r="Q1467"/>
  <c r="X1467"/>
  <c r="X1464"/>
  <c r="Q1464"/>
  <c r="X1465"/>
  <c r="Q1465"/>
  <c r="X1469"/>
  <c r="Q1469"/>
  <c r="X1470"/>
  <c r="Q1470"/>
  <c r="X1471"/>
  <c r="Q1471"/>
  <c r="X1472"/>
  <c r="Q1472"/>
  <c r="L1635"/>
  <c r="J1635"/>
  <c r="O1481"/>
  <c r="O1479"/>
  <c r="O1476"/>
  <c r="O1477"/>
  <c r="O1475"/>
  <c r="O1474"/>
  <c r="O1556"/>
  <c r="O1553"/>
  <c r="O1545"/>
  <c r="O1547"/>
  <c r="X1582"/>
  <c r="X1580"/>
  <c r="X1567"/>
  <c r="X1554"/>
  <c r="X1533"/>
  <c r="X1520"/>
  <c r="X1517"/>
  <c r="X1519"/>
  <c r="X1523"/>
  <c r="X1573"/>
  <c r="X1575"/>
  <c r="X1577"/>
  <c r="X1590"/>
  <c r="X1499"/>
  <c r="X1591"/>
  <c r="X1583"/>
  <c r="X1476"/>
  <c r="X1507"/>
  <c r="X1542"/>
  <c r="X1555"/>
  <c r="X1514"/>
  <c r="X1526"/>
  <c r="X1547"/>
  <c r="X1589"/>
  <c r="X1585"/>
  <c r="X1578"/>
  <c r="X1566"/>
  <c r="X1561"/>
  <c r="X1560"/>
  <c r="X1556"/>
  <c r="X1553"/>
  <c r="X1545"/>
  <c r="X1543"/>
  <c r="X1540"/>
  <c r="X1539"/>
  <c r="X1535"/>
  <c r="X1531"/>
  <c r="X1525"/>
  <c r="X1516"/>
  <c r="X1511"/>
  <c r="X1510"/>
  <c r="X1509"/>
  <c r="X1505"/>
  <c r="X1503"/>
  <c r="X1502"/>
  <c r="X1501"/>
  <c r="S1598"/>
  <c r="T1598"/>
  <c r="X1498"/>
  <c r="X1495"/>
  <c r="X1494"/>
  <c r="X1490"/>
  <c r="X1489"/>
  <c r="X1488"/>
  <c r="X1487"/>
  <c r="X1485"/>
  <c r="X1481"/>
  <c r="X1479"/>
  <c r="X1477"/>
  <c r="X1475"/>
  <c r="X1474"/>
  <c r="M1594"/>
  <c r="M1593"/>
  <c r="N1591"/>
  <c r="M1591"/>
  <c r="N1590"/>
  <c r="M1590"/>
  <c r="M1589"/>
  <c r="Q1589" s="1"/>
  <c r="Y1589" s="1"/>
  <c r="AA1589" s="1"/>
  <c r="M1588"/>
  <c r="Q1588" s="1"/>
  <c r="M1586"/>
  <c r="Q1586" s="1"/>
  <c r="N1585"/>
  <c r="M1585"/>
  <c r="M1584"/>
  <c r="Q1584" s="1"/>
  <c r="Y1584" s="1"/>
  <c r="AE1584" s="1"/>
  <c r="N1583"/>
  <c r="M1583"/>
  <c r="N1582"/>
  <c r="M1582"/>
  <c r="M1581"/>
  <c r="Q1581" s="1"/>
  <c r="Y1581" s="1"/>
  <c r="AE1581" s="1"/>
  <c r="N1580"/>
  <c r="M1580"/>
  <c r="N1578"/>
  <c r="M1578"/>
  <c r="N1577"/>
  <c r="M1577"/>
  <c r="N1575"/>
  <c r="M1575"/>
  <c r="N1573"/>
  <c r="M1573"/>
  <c r="M1572"/>
  <c r="Q1572" s="1"/>
  <c r="M1570"/>
  <c r="Q1570" s="1"/>
  <c r="M1569"/>
  <c r="Q1569" s="1"/>
  <c r="M1568"/>
  <c r="Q1568" s="1"/>
  <c r="N1567"/>
  <c r="M1567"/>
  <c r="N1566"/>
  <c r="M1566"/>
  <c r="M1565"/>
  <c r="Q1565" s="1"/>
  <c r="N1561"/>
  <c r="M1561"/>
  <c r="N1560"/>
  <c r="M1560"/>
  <c r="M1556"/>
  <c r="Q1556" s="1"/>
  <c r="N1555"/>
  <c r="M1555"/>
  <c r="N1554"/>
  <c r="M1554"/>
  <c r="M1553"/>
  <c r="Q1553" s="1"/>
  <c r="M1549"/>
  <c r="Q1549" s="1"/>
  <c r="M1548"/>
  <c r="Q1548" s="1"/>
  <c r="M1547"/>
  <c r="Q1547" s="1"/>
  <c r="M1546"/>
  <c r="M1545"/>
  <c r="Q1545" s="1"/>
  <c r="N1543"/>
  <c r="M1543"/>
  <c r="N1542"/>
  <c r="M1542"/>
  <c r="M1541"/>
  <c r="N1540"/>
  <c r="M1540"/>
  <c r="N1539"/>
  <c r="M1539"/>
  <c r="M1537"/>
  <c r="M1536"/>
  <c r="Q1536" s="1"/>
  <c r="N1535"/>
  <c r="M1535"/>
  <c r="N1533"/>
  <c r="M1533"/>
  <c r="M1532"/>
  <c r="N1531"/>
  <c r="M1531"/>
  <c r="M1530"/>
  <c r="M1528"/>
  <c r="M1527"/>
  <c r="Q1527" s="1"/>
  <c r="M1526"/>
  <c r="Q1526" s="1"/>
  <c r="N1525"/>
  <c r="M1525"/>
  <c r="N1523"/>
  <c r="M1523"/>
  <c r="M1521"/>
  <c r="N1520"/>
  <c r="M1520"/>
  <c r="N1519"/>
  <c r="M1519"/>
  <c r="N1517"/>
  <c r="M1517"/>
  <c r="N1516"/>
  <c r="M1516"/>
  <c r="N1514"/>
  <c r="M1514"/>
  <c r="M1513"/>
  <c r="N1511"/>
  <c r="M1511"/>
  <c r="N1510"/>
  <c r="M1510"/>
  <c r="N1509"/>
  <c r="M1509"/>
  <c r="N1507"/>
  <c r="M1507"/>
  <c r="N1505"/>
  <c r="M1505"/>
  <c r="M1504"/>
  <c r="N1503"/>
  <c r="M1503"/>
  <c r="N1502"/>
  <c r="M1502"/>
  <c r="N1501"/>
  <c r="M1501"/>
  <c r="N1499"/>
  <c r="M1499"/>
  <c r="N1498"/>
  <c r="M1498"/>
  <c r="M1496"/>
  <c r="N1495"/>
  <c r="M1495"/>
  <c r="N1494"/>
  <c r="M1494"/>
  <c r="M1493"/>
  <c r="M1492"/>
  <c r="N1490"/>
  <c r="M1490"/>
  <c r="N1489"/>
  <c r="M1489"/>
  <c r="N1488"/>
  <c r="M1488"/>
  <c r="N1487"/>
  <c r="M1487"/>
  <c r="N1485"/>
  <c r="M1485"/>
  <c r="N1483"/>
  <c r="M1483"/>
  <c r="M1482"/>
  <c r="M1481"/>
  <c r="Q1481" s="1"/>
  <c r="M1480"/>
  <c r="Q1480" s="1"/>
  <c r="M1479"/>
  <c r="Q1479" s="1"/>
  <c r="M1477"/>
  <c r="Q1477" s="1"/>
  <c r="Y1477" s="1"/>
  <c r="Z1477" s="1"/>
  <c r="M1476"/>
  <c r="Q1476" s="1"/>
  <c r="M1475"/>
  <c r="Q1475" s="1"/>
  <c r="M1474"/>
  <c r="P1598"/>
  <c r="J1598"/>
  <c r="L1598"/>
  <c r="Y1431" l="1"/>
  <c r="Y1425"/>
  <c r="Y1412"/>
  <c r="Y1385"/>
  <c r="Y1396"/>
  <c r="Y1410"/>
  <c r="Y1409"/>
  <c r="Y1394"/>
  <c r="Y1390"/>
  <c r="Y1442"/>
  <c r="Y1405"/>
  <c r="Y1446"/>
  <c r="Y1438"/>
  <c r="Y1472"/>
  <c r="Y1427"/>
  <c r="Y1426"/>
  <c r="Y1422"/>
  <c r="Y1391"/>
  <c r="Y1440"/>
  <c r="Y1436"/>
  <c r="Y1434"/>
  <c r="Y1429"/>
  <c r="Y1414"/>
  <c r="Y1418"/>
  <c r="Y1392"/>
  <c r="Y1387"/>
  <c r="Y1384"/>
  <c r="Y1382"/>
  <c r="Y1380"/>
  <c r="Y1388"/>
  <c r="Y1402"/>
  <c r="Y1400"/>
  <c r="Y1404"/>
  <c r="Y1417"/>
  <c r="Y1416"/>
  <c r="Y1415"/>
  <c r="Y1433"/>
  <c r="Y1439"/>
  <c r="Y1475"/>
  <c r="Z1475" s="1"/>
  <c r="Y1449"/>
  <c r="Y1445"/>
  <c r="Y1448"/>
  <c r="Y1565"/>
  <c r="Y1476"/>
  <c r="AA1476" s="1"/>
  <c r="Y1481"/>
  <c r="Z1481" s="1"/>
  <c r="AC1481" s="1"/>
  <c r="N1598"/>
  <c r="Y1547"/>
  <c r="AA1547" s="1"/>
  <c r="Q1585"/>
  <c r="Y1585" s="1"/>
  <c r="Z1585" s="1"/>
  <c r="Y1459"/>
  <c r="Y1527"/>
  <c r="AC1527" s="1"/>
  <c r="Y1549"/>
  <c r="AE1549" s="1"/>
  <c r="Y1480"/>
  <c r="AE1480" s="1"/>
  <c r="Y1479"/>
  <c r="Z1479" s="1"/>
  <c r="Q1560"/>
  <c r="Y1560" s="1"/>
  <c r="Z1560" s="1"/>
  <c r="Q1561"/>
  <c r="Y1471"/>
  <c r="AC1471" s="1"/>
  <c r="Y1465"/>
  <c r="Y1464"/>
  <c r="AC1464" s="1"/>
  <c r="Y1568"/>
  <c r="AD1568" s="1"/>
  <c r="Y1586"/>
  <c r="AE1586" s="1"/>
  <c r="Y1570"/>
  <c r="AE1570" s="1"/>
  <c r="Y1572"/>
  <c r="AE1572" s="1"/>
  <c r="Y1548"/>
  <c r="Y1453"/>
  <c r="Y1452"/>
  <c r="Y1451"/>
  <c r="Q1582"/>
  <c r="Y1582" s="1"/>
  <c r="AB1582" s="1"/>
  <c r="Q1583"/>
  <c r="Q1566"/>
  <c r="Q1567"/>
  <c r="Y1567" s="1"/>
  <c r="AB1567" s="1"/>
  <c r="Q1573"/>
  <c r="Q1575"/>
  <c r="Q1577"/>
  <c r="Q1578"/>
  <c r="Y1578" s="1"/>
  <c r="Z1578" s="1"/>
  <c r="Q1580"/>
  <c r="Y1536"/>
  <c r="AE1536" s="1"/>
  <c r="Y1569"/>
  <c r="AE1569" s="1"/>
  <c r="Y1588"/>
  <c r="Q1528"/>
  <c r="Y1528" s="1"/>
  <c r="AC1528" s="1"/>
  <c r="Q1530"/>
  <c r="Y1530" s="1"/>
  <c r="AE1530" s="1"/>
  <c r="Q1531"/>
  <c r="Q1532"/>
  <c r="Y1532" s="1"/>
  <c r="AD1532" s="1"/>
  <c r="Q1533"/>
  <c r="Y1533" s="1"/>
  <c r="AB1533" s="1"/>
  <c r="Q1535"/>
  <c r="Y1535" s="1"/>
  <c r="Z1535" s="1"/>
  <c r="Q1539"/>
  <c r="Y1539" s="1"/>
  <c r="Z1539" s="1"/>
  <c r="Q1540"/>
  <c r="Y1540" s="1"/>
  <c r="Z1540" s="1"/>
  <c r="Q1541"/>
  <c r="Y1541" s="1"/>
  <c r="AE1541" s="1"/>
  <c r="Q1542"/>
  <c r="Y1542" s="1"/>
  <c r="AA1542" s="1"/>
  <c r="Q1543"/>
  <c r="Y1457"/>
  <c r="Y1456"/>
  <c r="Y1455"/>
  <c r="Y1458"/>
  <c r="Y1461"/>
  <c r="Y1467"/>
  <c r="Y1469"/>
  <c r="Y1470"/>
  <c r="AC1470" s="1"/>
  <c r="M1598"/>
  <c r="Q1537"/>
  <c r="Y1537" s="1"/>
  <c r="AE1537" s="1"/>
  <c r="Q1482"/>
  <c r="Y1482" s="1"/>
  <c r="Q1483"/>
  <c r="Q1485"/>
  <c r="Y1485" s="1"/>
  <c r="Z1485" s="1"/>
  <c r="Q1487"/>
  <c r="Y1487" s="1"/>
  <c r="Z1487" s="1"/>
  <c r="Q1488"/>
  <c r="Y1488" s="1"/>
  <c r="Z1488" s="1"/>
  <c r="Q1489"/>
  <c r="Y1489" s="1"/>
  <c r="Z1489" s="1"/>
  <c r="Q1490"/>
  <c r="Y1490" s="1"/>
  <c r="Z1490" s="1"/>
  <c r="Q1492"/>
  <c r="Y1492" s="1"/>
  <c r="AC1492" s="1"/>
  <c r="Q1493"/>
  <c r="Y1493" s="1"/>
  <c r="AE1493" s="1"/>
  <c r="Q1494"/>
  <c r="Q1495"/>
  <c r="Y1495" s="1"/>
  <c r="Z1495" s="1"/>
  <c r="Q1496"/>
  <c r="Y1496" s="1"/>
  <c r="AC1496" s="1"/>
  <c r="Q1498"/>
  <c r="Y1498" s="1"/>
  <c r="Z1498" s="1"/>
  <c r="Q1499"/>
  <c r="Y1499" s="1"/>
  <c r="AB1499" s="1"/>
  <c r="Q1501"/>
  <c r="Y1501" s="1"/>
  <c r="Z1501" s="1"/>
  <c r="Q1502"/>
  <c r="Y1502" s="1"/>
  <c r="Z1502" s="1"/>
  <c r="Q1503"/>
  <c r="Y1503" s="1"/>
  <c r="Z1503" s="1"/>
  <c r="Q1504"/>
  <c r="Y1504" s="1"/>
  <c r="AD1504" s="1"/>
  <c r="Q1505"/>
  <c r="Y1505" s="1"/>
  <c r="Z1505" s="1"/>
  <c r="Q1507"/>
  <c r="Y1507" s="1"/>
  <c r="AA1507" s="1"/>
  <c r="Q1590"/>
  <c r="Y1590" s="1"/>
  <c r="AB1590" s="1"/>
  <c r="Q1591"/>
  <c r="Y1591" s="1"/>
  <c r="AB1591" s="1"/>
  <c r="Q1593"/>
  <c r="Y1593" s="1"/>
  <c r="AE1593" s="1"/>
  <c r="Q1594"/>
  <c r="Y1594" s="1"/>
  <c r="AE1594" s="1"/>
  <c r="Q1595"/>
  <c r="Y1595" s="1"/>
  <c r="Y1580"/>
  <c r="AB1580" s="1"/>
  <c r="Q1509"/>
  <c r="Y1509" s="1"/>
  <c r="Z1509" s="1"/>
  <c r="Q1510"/>
  <c r="Y1510" s="1"/>
  <c r="Z1510" s="1"/>
  <c r="Q1511"/>
  <c r="Y1511" s="1"/>
  <c r="Z1511" s="1"/>
  <c r="Q1513"/>
  <c r="Y1513" s="1"/>
  <c r="AE1513" s="1"/>
  <c r="Q1514"/>
  <c r="Y1514" s="1"/>
  <c r="AA1514" s="1"/>
  <c r="Q1516"/>
  <c r="Y1516" s="1"/>
  <c r="Q1517"/>
  <c r="Q1519"/>
  <c r="Q1520"/>
  <c r="Y1520" s="1"/>
  <c r="AB1520" s="1"/>
  <c r="Q1521"/>
  <c r="Y1521" s="1"/>
  <c r="AE1521" s="1"/>
  <c r="Q1523"/>
  <c r="Y1523" s="1"/>
  <c r="AB1523" s="1"/>
  <c r="Q1525"/>
  <c r="Y1525" s="1"/>
  <c r="Z1525" s="1"/>
  <c r="Y1526"/>
  <c r="AA1526" s="1"/>
  <c r="Q1546"/>
  <c r="Y1546" s="1"/>
  <c r="AC1546" s="1"/>
  <c r="Q1554"/>
  <c r="Y1554" s="1"/>
  <c r="AB1554" s="1"/>
  <c r="Q1555"/>
  <c r="Y1555" s="1"/>
  <c r="AA1555" s="1"/>
  <c r="Y1577"/>
  <c r="AB1577" s="1"/>
  <c r="Y1575"/>
  <c r="AB1575" s="1"/>
  <c r="Y1573"/>
  <c r="AB1573" s="1"/>
  <c r="Y1519"/>
  <c r="AB1519" s="1"/>
  <c r="Y1517"/>
  <c r="Q1474"/>
  <c r="Y1494"/>
  <c r="Z1494" s="1"/>
  <c r="X1598"/>
  <c r="Y1531"/>
  <c r="Z1531" s="1"/>
  <c r="Y1543"/>
  <c r="Z1543" s="1"/>
  <c r="Y1553"/>
  <c r="Z1553" s="1"/>
  <c r="Y1566"/>
  <c r="Z1566" s="1"/>
  <c r="Y1583"/>
  <c r="AB1583" s="1"/>
  <c r="Y1545"/>
  <c r="Z1545" s="1"/>
  <c r="Y1556"/>
  <c r="Z1556" s="1"/>
  <c r="Y1561"/>
  <c r="Z1561" s="1"/>
  <c r="AA1598" l="1"/>
  <c r="Z1473"/>
  <c r="AD1595"/>
  <c r="AD1598" s="1"/>
  <c r="AC1595"/>
  <c r="AC1598" s="1"/>
  <c r="AE1598"/>
  <c r="Q1598"/>
  <c r="Z1516"/>
  <c r="AB1516"/>
  <c r="AB1598" s="1"/>
  <c r="Y1474"/>
  <c r="Z1474" l="1"/>
  <c r="Z1598" s="1"/>
  <c r="Y1598"/>
  <c r="Q1093"/>
  <c r="Y1093" s="1"/>
  <c r="Z1108" s="1"/>
</calcChain>
</file>

<file path=xl/sharedStrings.xml><?xml version="1.0" encoding="utf-8"?>
<sst xmlns="http://schemas.openxmlformats.org/spreadsheetml/2006/main" count="12818" uniqueCount="8947">
  <si>
    <t>Tina Coy</t>
  </si>
  <si>
    <t>Name</t>
    <phoneticPr fontId="1" type="noConversion"/>
  </si>
  <si>
    <t>eBay_ID</t>
    <phoneticPr fontId="1" type="noConversion"/>
  </si>
  <si>
    <t>Item</t>
    <phoneticPr fontId="1" type="noConversion"/>
  </si>
  <si>
    <t>coy142</t>
  </si>
  <si>
    <t>jernestin</t>
  </si>
  <si>
    <t>h2r_future</t>
  </si>
  <si>
    <t>Intex Skimmer</t>
    <phoneticPr fontId="1" type="noConversion"/>
  </si>
  <si>
    <t>Price</t>
    <phoneticPr fontId="1" type="noConversion"/>
  </si>
  <si>
    <t>+1 513-484-8987</t>
  </si>
  <si>
    <t>Email</t>
    <phoneticPr fontId="1" type="noConversion"/>
  </si>
  <si>
    <t>OH</t>
  </si>
  <si>
    <t>+1 787-228-7672</t>
  </si>
  <si>
    <t>PR</t>
    <phoneticPr fontId="1" type="noConversion"/>
  </si>
  <si>
    <t>+1 310-650-6775</t>
  </si>
  <si>
    <t>CA</t>
    <phoneticPr fontId="1" type="noConversion"/>
  </si>
  <si>
    <t xml:space="preserve"> </t>
    <phoneticPr fontId="1" type="noConversion"/>
  </si>
  <si>
    <t>Pool Lounge</t>
  </si>
  <si>
    <t>Curtain Book</t>
  </si>
  <si>
    <t xml:space="preserve">Jose m Feliu </t>
  </si>
  <si>
    <t xml:space="preserve">James Beaty </t>
  </si>
  <si>
    <t xml:space="preserve">Shannon Ragain    </t>
  </si>
  <si>
    <t xml:space="preserve">Monte Saylor  </t>
  </si>
  <si>
    <t>+1 704-689-7452</t>
  </si>
  <si>
    <t>NC</t>
    <phoneticPr fontId="1" type="noConversion"/>
  </si>
  <si>
    <t>+1 660-672-9260</t>
  </si>
  <si>
    <t>MO</t>
    <phoneticPr fontId="1" type="noConversion"/>
  </si>
  <si>
    <t>+1 360-371-2562</t>
  </si>
  <si>
    <t>WA</t>
    <phoneticPr fontId="1" type="noConversion"/>
  </si>
  <si>
    <t>+1 787-533-5573</t>
  </si>
  <si>
    <t>saylors1010</t>
  </si>
  <si>
    <t>shannonragain85</t>
  </si>
  <si>
    <t>jamebeat07</t>
  </si>
  <si>
    <t>drfeliu</t>
  </si>
  <si>
    <t xml:space="preserve">Intex Skimmer     </t>
    <phoneticPr fontId="1" type="noConversion"/>
  </si>
  <si>
    <t xml:space="preserve">Intex Maint Kit     </t>
    <phoneticPr fontId="1" type="noConversion"/>
  </si>
  <si>
    <t xml:space="preserve">Intex Cooler I        </t>
    <phoneticPr fontId="1" type="noConversion"/>
  </si>
  <si>
    <t xml:space="preserve">Deborah Hogen </t>
  </si>
  <si>
    <t xml:space="preserve">Javier Colon </t>
  </si>
  <si>
    <t xml:space="preserve">April Blunt </t>
  </si>
  <si>
    <t xml:space="preserve">Dean Bader   </t>
  </si>
  <si>
    <t>Angel Delgadovirella</t>
  </si>
  <si>
    <t xml:space="preserve">Noel a valetin  </t>
  </si>
  <si>
    <t>Emesto Irzarry</t>
  </si>
  <si>
    <t xml:space="preserve">iriza-ernes  </t>
  </si>
  <si>
    <t>volktrek</t>
  </si>
  <si>
    <t>delgange-idqd4</t>
  </si>
  <si>
    <t>musicvision316</t>
  </si>
  <si>
    <t>apbl_2731</t>
  </si>
  <si>
    <t>javimer2323</t>
  </si>
  <si>
    <t>sondanced</t>
  </si>
  <si>
    <t>+1 787-246-0974</t>
  </si>
  <si>
    <t>+1 787-382-3959</t>
  </si>
  <si>
    <t>+1 787-972-4645</t>
  </si>
  <si>
    <t>+1 573-883-6555</t>
  </si>
  <si>
    <t>+1 541-659-4371</t>
  </si>
  <si>
    <t>OR</t>
    <phoneticPr fontId="1" type="noConversion"/>
  </si>
  <si>
    <t>+1 787-367-9606</t>
  </si>
  <si>
    <t>+1 330-904-6741</t>
  </si>
  <si>
    <t>SD</t>
    <phoneticPr fontId="1" type="noConversion"/>
  </si>
  <si>
    <t>US Weight 30 lb</t>
    <phoneticPr fontId="1" type="noConversion"/>
  </si>
  <si>
    <t>US Weight 20 lb</t>
    <phoneticPr fontId="1" type="noConversion"/>
  </si>
  <si>
    <t>US Weight 40 lb</t>
    <phoneticPr fontId="1" type="noConversion"/>
  </si>
  <si>
    <t>+1 405-287-8616</t>
  </si>
  <si>
    <t>OK</t>
    <phoneticPr fontId="1" type="noConversion"/>
  </si>
  <si>
    <t xml:space="preserve">Paul Bender </t>
  </si>
  <si>
    <t>Giovanni Espinoza</t>
  </si>
  <si>
    <t>benbpa_twwujvicnp4</t>
  </si>
  <si>
    <t>gio27market756</t>
  </si>
  <si>
    <t>+1 347-469-2542</t>
  </si>
  <si>
    <t>NY</t>
    <phoneticPr fontId="1" type="noConversion"/>
  </si>
  <si>
    <t>Flowtron Killer</t>
    <phoneticPr fontId="1" type="noConversion"/>
  </si>
  <si>
    <t xml:space="preserve">Bao chang </t>
  </si>
  <si>
    <t xml:space="preserve">Arthur Crawford    </t>
  </si>
  <si>
    <t>Eusebia lorenzohemandez</t>
  </si>
  <si>
    <t xml:space="preserve">William Head   </t>
  </si>
  <si>
    <t>+1 225-636-1149</t>
  </si>
  <si>
    <t>LA</t>
    <phoneticPr fontId="1" type="noConversion"/>
  </si>
  <si>
    <t>headwillm407</t>
  </si>
  <si>
    <t>Cancelled Address Prob</t>
    <phoneticPr fontId="1" type="noConversion"/>
  </si>
  <si>
    <t>+1 740-501-0960</t>
  </si>
  <si>
    <t>OH</t>
    <phoneticPr fontId="1" type="noConversion"/>
  </si>
  <si>
    <t>arthucrawfor_76</t>
  </si>
  <si>
    <t>+1 918-851-0617</t>
  </si>
  <si>
    <t>baokchang125</t>
  </si>
  <si>
    <t xml:space="preserve">Intex Cooler II </t>
    <phoneticPr fontId="1" type="noConversion"/>
  </si>
  <si>
    <t>Plano Tote 65 Q</t>
    <phoneticPr fontId="1" type="noConversion"/>
  </si>
  <si>
    <t xml:space="preserve">Sun Shade Pool </t>
  </si>
  <si>
    <t>+1 516-848-9417</t>
  </si>
  <si>
    <t>papparoty328</t>
  </si>
  <si>
    <t xml:space="preserve">Joseph Barresi </t>
  </si>
  <si>
    <t>+1 631-415-8927</t>
  </si>
  <si>
    <t>PA</t>
    <phoneticPr fontId="1" type="noConversion"/>
  </si>
  <si>
    <t>Lymari Bolorin</t>
  </si>
  <si>
    <t>b.cmaly.8dfn3i0</t>
  </si>
  <si>
    <t>+1 813-335-0727</t>
  </si>
  <si>
    <t>FL</t>
    <phoneticPr fontId="1" type="noConversion"/>
  </si>
  <si>
    <t>mzjgm2012947</t>
  </si>
  <si>
    <t>Jana Martinez</t>
  </si>
  <si>
    <t>+1 270-871-6701</t>
  </si>
  <si>
    <t>KY</t>
    <phoneticPr fontId="1" type="noConversion"/>
  </si>
  <si>
    <t>slavia632994</t>
  </si>
  <si>
    <t>+1 716-844-8076</t>
  </si>
  <si>
    <t>anf.us.i7whhacav223</t>
  </si>
  <si>
    <t>anthony fiorella</t>
  </si>
  <si>
    <t>+1 787-597-8778</t>
  </si>
  <si>
    <t>gabrienieve_827</t>
  </si>
  <si>
    <t>gabriel nieves</t>
  </si>
  <si>
    <t>Ernesto Suarez</t>
  </si>
  <si>
    <t>esuarez2193201247</t>
  </si>
  <si>
    <t>+1 305-978-0210</t>
  </si>
  <si>
    <t>+1 325-574-3051</t>
  </si>
  <si>
    <t>TX</t>
    <phoneticPr fontId="1" type="noConversion"/>
  </si>
  <si>
    <t>tommy williams</t>
  </si>
  <si>
    <t>twil5889749</t>
  </si>
  <si>
    <t>Curtain Bamboo Stalk</t>
    <phoneticPr fontId="1" type="noConversion"/>
  </si>
  <si>
    <t>+1 787-315-1813</t>
  </si>
  <si>
    <t>Angel Rosario</t>
  </si>
  <si>
    <t>aton_pr_qf8ozhk0</t>
  </si>
  <si>
    <t>Emerson Callanta</t>
  </si>
  <si>
    <t>marcoantonio1108135</t>
  </si>
  <si>
    <t>+1 817-899-8412</t>
  </si>
  <si>
    <t>+1 513-288-2684</t>
  </si>
  <si>
    <t>leppert1217</t>
  </si>
  <si>
    <t>128lisa leppert</t>
  </si>
  <si>
    <t>Manuel Sandoval</t>
  </si>
  <si>
    <t>manuel1260202</t>
  </si>
  <si>
    <t>+1 404-316-5465</t>
  </si>
  <si>
    <t>GA</t>
    <phoneticPr fontId="1" type="noConversion"/>
  </si>
  <si>
    <t>Curtain Bookcase</t>
    <phoneticPr fontId="1" type="noConversion"/>
  </si>
  <si>
    <t>Intex Pump 1500</t>
    <phoneticPr fontId="1" type="noConversion"/>
  </si>
  <si>
    <t>Intex Pump 1000</t>
    <phoneticPr fontId="1" type="noConversion"/>
  </si>
  <si>
    <t>boschodrosk017</t>
  </si>
  <si>
    <t>Bob Schodroski</t>
  </si>
  <si>
    <t>+1 314-306-2963</t>
  </si>
  <si>
    <t xml:space="preserve">iridehat1358 </t>
  </si>
  <si>
    <t>Jennifer j Goodson</t>
  </si>
  <si>
    <t>+1 515-971-7741</t>
  </si>
  <si>
    <t>IA</t>
    <phoneticPr fontId="1" type="noConversion"/>
  </si>
  <si>
    <t>chelseafcschnauzer1204</t>
  </si>
  <si>
    <t>+1 609-320-6933</t>
  </si>
  <si>
    <t>NJ</t>
    <phoneticPr fontId="1" type="noConversion"/>
  </si>
  <si>
    <t xml:space="preserve">David T. Woodward </t>
  </si>
  <si>
    <t>ironhorse918445</t>
  </si>
  <si>
    <t>+1 302-521-0806</t>
  </si>
  <si>
    <t>DE</t>
    <phoneticPr fontId="1" type="noConversion"/>
  </si>
  <si>
    <t>damian c flores</t>
  </si>
  <si>
    <t>71flatty549</t>
  </si>
  <si>
    <t>+1 510-305-7239</t>
  </si>
  <si>
    <t>Curtain Tree</t>
    <phoneticPr fontId="1" type="noConversion"/>
  </si>
  <si>
    <t>Weight Eurmax</t>
    <phoneticPr fontId="1" type="noConversion"/>
  </si>
  <si>
    <t>+1 256-458-5301</t>
  </si>
  <si>
    <t>AL</t>
    <phoneticPr fontId="1" type="noConversion"/>
  </si>
  <si>
    <t>Hanna Smith</t>
  </si>
  <si>
    <t>hasm_255</t>
  </si>
  <si>
    <t>+1 774-696-6899</t>
  </si>
  <si>
    <t>NH</t>
    <phoneticPr fontId="1" type="noConversion"/>
  </si>
  <si>
    <t>Steele Sturgis</t>
  </si>
  <si>
    <t>steelio12345224</t>
  </si>
  <si>
    <t>+1 716-307-0967</t>
  </si>
  <si>
    <t>DIANE BABB</t>
  </si>
  <si>
    <t>diba_45493</t>
  </si>
  <si>
    <t>+1 903-203-4246</t>
  </si>
  <si>
    <t>oscar rodriguez</t>
  </si>
  <si>
    <t>rodriguez12342227</t>
  </si>
  <si>
    <t>+1 208-206-3877</t>
  </si>
  <si>
    <t>Adrianne Burke</t>
  </si>
  <si>
    <t>burk.adria74</t>
  </si>
  <si>
    <t>ID</t>
    <phoneticPr fontId="1" type="noConversion"/>
  </si>
  <si>
    <t>+1 787-486-8495</t>
  </si>
  <si>
    <t>Ana Cruz</t>
  </si>
  <si>
    <t>acru904578</t>
  </si>
  <si>
    <t>+1 787-547-0780</t>
  </si>
  <si>
    <t>nilsa colon</t>
  </si>
  <si>
    <t>nilscolo-av1fuo29</t>
  </si>
  <si>
    <t>+1 573-789-3545</t>
  </si>
  <si>
    <t>jason white</t>
  </si>
  <si>
    <t>jasowhit_2764</t>
  </si>
  <si>
    <t>Plano Tote 56 Q</t>
    <phoneticPr fontId="1" type="noConversion"/>
  </si>
  <si>
    <t>+1 301-452-2517</t>
  </si>
  <si>
    <t>MD</t>
    <phoneticPr fontId="1" type="noConversion"/>
  </si>
  <si>
    <t>Sheniqua Harris</t>
  </si>
  <si>
    <t>mschocthunder728</t>
  </si>
  <si>
    <t>taraann2323@gmail.com</t>
  </si>
  <si>
    <t>+1 801-979-2239</t>
  </si>
  <si>
    <t>UT</t>
    <phoneticPr fontId="1" type="noConversion"/>
  </si>
  <si>
    <t>Tara Dennis</t>
  </si>
  <si>
    <t>taraannd2323221</t>
  </si>
  <si>
    <t>+1 323-519-1103</t>
  </si>
  <si>
    <t>m.gonzalez73@yahoo.com</t>
  </si>
  <si>
    <t>mell gonzalez</t>
  </si>
  <si>
    <t>megonz-641</t>
  </si>
  <si>
    <t>davidmaster2334@gmail.com</t>
  </si>
  <si>
    <t>+1 787-910-3266</t>
  </si>
  <si>
    <t>2014prdeho23</t>
  </si>
  <si>
    <t>apocdesign@gmail.com</t>
  </si>
  <si>
    <t>+1 616-706-2602</t>
  </si>
  <si>
    <t>MI</t>
    <phoneticPr fontId="1" type="noConversion"/>
  </si>
  <si>
    <t>Alan Close</t>
  </si>
  <si>
    <t>aclose290</t>
  </si>
  <si>
    <t>+1 870-219-9685</t>
  </si>
  <si>
    <t>chanceaustin_00@yahoo.com</t>
  </si>
  <si>
    <t>AR</t>
    <phoneticPr fontId="1" type="noConversion"/>
  </si>
  <si>
    <t>Chance Austin</t>
  </si>
  <si>
    <t>chancausti_53</t>
  </si>
  <si>
    <t>tyleranliker@gmail.com</t>
  </si>
  <si>
    <t>+1 707-367-2334</t>
  </si>
  <si>
    <t>Tyler Anliker</t>
  </si>
  <si>
    <t>tyanl_00</t>
  </si>
  <si>
    <t>+1 954-709-0868</t>
  </si>
  <si>
    <t>ashervette@hotmail.com</t>
  </si>
  <si>
    <t>Asher Buhbut</t>
  </si>
  <si>
    <t>ashervette590</t>
  </si>
  <si>
    <t>hotrodtiger1980@yahoo.com</t>
  </si>
  <si>
    <t>+1 270-999-2452</t>
  </si>
  <si>
    <t>Timothy Phelps</t>
  </si>
  <si>
    <t>hotrodtiger176</t>
  </si>
  <si>
    <t>Intex Cooler I</t>
    <phoneticPr fontId="1" type="noConversion"/>
  </si>
  <si>
    <t>joelot38@gmail.com</t>
  </si>
  <si>
    <t>+1 774-312-3306</t>
  </si>
  <si>
    <t>MA</t>
    <phoneticPr fontId="1" type="noConversion"/>
  </si>
  <si>
    <t>Joel Ortiz Torres</t>
  </si>
  <si>
    <t>joortiz9519</t>
  </si>
  <si>
    <t>craignorr82@outlook.com</t>
  </si>
  <si>
    <t>+1 814-720-1910</t>
  </si>
  <si>
    <t>craig norr</t>
  </si>
  <si>
    <t>crai.nor93</t>
  </si>
  <si>
    <t>jamesmckeny@sbcglobal.net</t>
  </si>
  <si>
    <t>+1 810-394-0801</t>
  </si>
  <si>
    <t>james mckeny</t>
  </si>
  <si>
    <t>jamemcken06</t>
  </si>
  <si>
    <t>jguerr57@netzero.com</t>
  </si>
  <si>
    <t>+1 773-999-9999</t>
  </si>
  <si>
    <t>IL</t>
    <phoneticPr fontId="1" type="noConversion"/>
  </si>
  <si>
    <t>Joel Guerrero</t>
  </si>
  <si>
    <t>yoho57561</t>
  </si>
  <si>
    <t>jerr440@yahoo.com</t>
  </si>
  <si>
    <t>+1 408-910-0363</t>
  </si>
  <si>
    <t>JONATHAN_x0007_E. RUIZ</t>
  </si>
  <si>
    <t>jhonny3143</t>
  </si>
  <si>
    <t>Curtain Color Wave</t>
    <phoneticPr fontId="1" type="noConversion"/>
  </si>
  <si>
    <t>montia.losangeles@gmail.com</t>
  </si>
  <si>
    <t>+1 619-792-2606</t>
  </si>
  <si>
    <t>Montia Sabbag</t>
  </si>
  <si>
    <t>smo.us.hdx38sk0</t>
  </si>
  <si>
    <t>smokerspalaceebay@gmail.com</t>
  </si>
  <si>
    <t>Yousef Ismail</t>
  </si>
  <si>
    <t>smokerspalace9618</t>
  </si>
  <si>
    <t>+1 248-850-8473</t>
  </si>
  <si>
    <t>austin_1090@yahoo.com</t>
  </si>
  <si>
    <t>+1 859-893-6645</t>
  </si>
  <si>
    <t>Brittany Hackworth</t>
  </si>
  <si>
    <t>brithack813</t>
  </si>
  <si>
    <t>kelsey.j.botner@gmail.com</t>
  </si>
  <si>
    <t>+1 701-840-1163</t>
  </si>
  <si>
    <t>ND</t>
    <phoneticPr fontId="1" type="noConversion"/>
  </si>
  <si>
    <t>Kelsey Botner</t>
  </si>
  <si>
    <t>kelsebotne046</t>
  </si>
  <si>
    <t>P</t>
    <phoneticPr fontId="1" type="noConversion"/>
  </si>
  <si>
    <t>victor.andrade78@hotmail.com</t>
  </si>
  <si>
    <t>+1 972-955-1674</t>
  </si>
  <si>
    <t>victor andrade</t>
  </si>
  <si>
    <t>vicandravicto366</t>
  </si>
  <si>
    <t>Fabric Curtain Sunset</t>
    <phoneticPr fontId="1" type="noConversion"/>
  </si>
  <si>
    <t>timothy123@twc.com</t>
  </si>
  <si>
    <t>+1 859-206-1419</t>
  </si>
  <si>
    <t>TIMOTHY RYAN</t>
  </si>
  <si>
    <t>worsome296</t>
  </si>
  <si>
    <t>amovermms@aol.com</t>
  </si>
  <si>
    <t>+1 925-783-0947</t>
  </si>
  <si>
    <t>roy maxson</t>
  </si>
  <si>
    <t>romaxso_08</t>
  </si>
  <si>
    <t>shyster86@yahoo.com</t>
  </si>
  <si>
    <t>+1 406-794-6687</t>
  </si>
  <si>
    <t>MT</t>
    <phoneticPr fontId="1" type="noConversion"/>
  </si>
  <si>
    <t>Shylor Reay</t>
  </si>
  <si>
    <t>shyster1636</t>
  </si>
  <si>
    <t>weaverjejw@gmail.com</t>
  </si>
  <si>
    <t>+1 330-473-5026</t>
  </si>
  <si>
    <t>Jerry Weaver</t>
  </si>
  <si>
    <t>jerrweave825</t>
  </si>
  <si>
    <t>lclittlecreek@gmail.com</t>
  </si>
  <si>
    <t>+1 217-440-6925</t>
  </si>
  <si>
    <t>lane campbell</t>
  </si>
  <si>
    <t>lclittlecreek10116</t>
  </si>
  <si>
    <t>bombidude@yahoo.com</t>
  </si>
  <si>
    <t>+1 518-796-5532</t>
  </si>
  <si>
    <t>William D Winslow</t>
  </si>
  <si>
    <t>bombidude1599</t>
  </si>
  <si>
    <t>bgperez4@yahoo.com</t>
  </si>
  <si>
    <t>+1 214-499-5894</t>
  </si>
  <si>
    <t>Edward A Perez</t>
  </si>
  <si>
    <t>eaperez32lv7463</t>
  </si>
  <si>
    <t>perfectionbowlingsupply@gmail.com</t>
  </si>
  <si>
    <t>+1 918-440-6800</t>
  </si>
  <si>
    <t>Chuck Ford</t>
  </si>
  <si>
    <t>chuckjr300213</t>
  </si>
  <si>
    <t xml:space="preserve">Intex Plunger Valve </t>
    <phoneticPr fontId="1" type="noConversion"/>
  </si>
  <si>
    <t>fcubero21@yahoo.com</t>
  </si>
  <si>
    <t>+1 863-259-7808</t>
  </si>
  <si>
    <t>Felipe Cubero</t>
  </si>
  <si>
    <t>hypercube2183</t>
  </si>
  <si>
    <t>geminis92312@hotmail.com</t>
  </si>
  <si>
    <t>+1 575-318-5437</t>
  </si>
  <si>
    <t>NM</t>
    <phoneticPr fontId="1" type="noConversion"/>
  </si>
  <si>
    <t>elizabeth garcia</t>
  </si>
  <si>
    <t>geminis92312_898</t>
  </si>
  <si>
    <t>raulisortiz90@gmail.com</t>
  </si>
  <si>
    <t>+1 512-308-8366</t>
  </si>
  <si>
    <t>raul ortiz</t>
  </si>
  <si>
    <t>rauorti-056</t>
  </si>
  <si>
    <t>cowboy72472@gmail.com</t>
  </si>
  <si>
    <t>+1 912-347-6532</t>
  </si>
  <si>
    <t>wayne Maddox</t>
  </si>
  <si>
    <t>cowboy72472229</t>
  </si>
  <si>
    <t>barbaragreen4203@sbcglobal.net</t>
  </si>
  <si>
    <t>+1 419-680-5360</t>
  </si>
  <si>
    <t>John Gormley</t>
  </si>
  <si>
    <t>5150johng98</t>
  </si>
  <si>
    <t>kattap@aol.com</t>
  </si>
  <si>
    <t>+1 517-392-0086</t>
  </si>
  <si>
    <t>Kathleen Polhamus</t>
  </si>
  <si>
    <t>kathleepolhamu_06</t>
  </si>
  <si>
    <t>joel.clark78@yahoo.com</t>
  </si>
  <si>
    <t>+1 719-330-8701</t>
  </si>
  <si>
    <t>CO</t>
    <phoneticPr fontId="1" type="noConversion"/>
  </si>
  <si>
    <t>Joel Clark</t>
  </si>
  <si>
    <t>joelclark78us262</t>
  </si>
  <si>
    <t>fdbroadcasting@yahoo.com</t>
  </si>
  <si>
    <t>+1 772-783-5260</t>
  </si>
  <si>
    <t>Fray Duroseau</t>
  </si>
  <si>
    <t>fdbf_d_odqnbvd0</t>
  </si>
  <si>
    <t>aaronydayra@hotmail.com</t>
  </si>
  <si>
    <t>+1 520-631-0099</t>
  </si>
  <si>
    <t>AZ</t>
    <phoneticPr fontId="1" type="noConversion"/>
  </si>
  <si>
    <t>Aaron Acevedo</t>
  </si>
  <si>
    <t>aaro.aceve56</t>
  </si>
  <si>
    <t>coorslight2314@gmail.com</t>
  </si>
  <si>
    <t>+1 917-287-7481</t>
  </si>
  <si>
    <t>jimmy rivera</t>
  </si>
  <si>
    <t>riv23141010</t>
  </si>
  <si>
    <t>Weight ABC</t>
    <phoneticPr fontId="1" type="noConversion"/>
  </si>
  <si>
    <t>Regal Geoko 2</t>
    <phoneticPr fontId="1" type="noConversion"/>
  </si>
  <si>
    <t>robertlferris@gmail.com</t>
  </si>
  <si>
    <t>+1 561-886-8126</t>
  </si>
  <si>
    <t>Robert Ferris</t>
  </si>
  <si>
    <t>roberferri-027</t>
  </si>
  <si>
    <t>jerryd_g@hotmail.com</t>
  </si>
  <si>
    <t>+1 402-750-0499</t>
  </si>
  <si>
    <t>NE</t>
    <phoneticPr fontId="1" type="noConversion"/>
  </si>
  <si>
    <t>Jerry Goedeker</t>
  </si>
  <si>
    <t>jgoe9996125</t>
  </si>
  <si>
    <t>orlin54@live.com</t>
  </si>
  <si>
    <t>+1 253-307-5994</t>
  </si>
  <si>
    <t>orlin liebelt</t>
  </si>
  <si>
    <t>olie8650340</t>
  </si>
  <si>
    <t>catzclayz@att.net</t>
  </si>
  <si>
    <t>+1 901-386-9378</t>
  </si>
  <si>
    <t>TN</t>
    <phoneticPr fontId="1" type="noConversion"/>
  </si>
  <si>
    <t>Cheryl Wilson</t>
  </si>
  <si>
    <t>catzclayzcreations515</t>
  </si>
  <si>
    <t>avalos1279@hotmail.com</t>
  </si>
  <si>
    <t>+1 661-436-4590</t>
  </si>
  <si>
    <t>Maria Leal avalos</t>
  </si>
  <si>
    <t>lealn2324</t>
  </si>
  <si>
    <t>alexander.dubon@terrus.com</t>
  </si>
  <si>
    <t>+1 515-208-5810</t>
  </si>
  <si>
    <t>alex dubon</t>
  </si>
  <si>
    <t>aledubo_179</t>
  </si>
  <si>
    <t>Hector D De Hoyos Santana</t>
  </si>
  <si>
    <t>Curtain Café</t>
    <phoneticPr fontId="1" type="noConversion"/>
  </si>
  <si>
    <t>pennydroberts@gmail.com</t>
  </si>
  <si>
    <t>+1 248-321-3776</t>
  </si>
  <si>
    <t>Penny Roberts</t>
  </si>
  <si>
    <t>penr_pe_g8hil70</t>
  </si>
  <si>
    <t>Rex Hackett</t>
  </si>
  <si>
    <t>rex10c5179</t>
  </si>
  <si>
    <t>rexfirefighter7@hotmail.com</t>
  </si>
  <si>
    <t>+1 217-304-6036</t>
  </si>
  <si>
    <t>daysi martinez</t>
  </si>
  <si>
    <t>days_mart36</t>
  </si>
  <si>
    <t>daysimtz74@gmail.com</t>
  </si>
  <si>
    <t>+1 214-646-4497</t>
  </si>
  <si>
    <t>FV</t>
    <phoneticPr fontId="1" type="noConversion"/>
  </si>
  <si>
    <t>PP</t>
    <phoneticPr fontId="1" type="noConversion"/>
  </si>
  <si>
    <t>Cost</t>
    <phoneticPr fontId="1" type="noConversion"/>
  </si>
  <si>
    <t>VATc</t>
    <phoneticPr fontId="1" type="noConversion"/>
  </si>
  <si>
    <t>Net</t>
    <phoneticPr fontId="1" type="noConversion"/>
  </si>
  <si>
    <t>Sum</t>
    <phoneticPr fontId="1" type="noConversion"/>
  </si>
  <si>
    <t>Tcost</t>
    <phoneticPr fontId="1" type="noConversion"/>
  </si>
  <si>
    <t>Kit</t>
    <phoneticPr fontId="1" type="noConversion"/>
  </si>
  <si>
    <t>Weight</t>
    <phoneticPr fontId="1" type="noConversion"/>
  </si>
  <si>
    <t>Andrew Goodale</t>
    <phoneticPr fontId="1" type="noConversion"/>
  </si>
  <si>
    <t>Intex Maint Kit</t>
    <phoneticPr fontId="1" type="noConversion"/>
  </si>
  <si>
    <t>Bamboo Step Bath</t>
    <phoneticPr fontId="1" type="noConversion"/>
  </si>
  <si>
    <t>Flowtron Bug Zapper</t>
    <phoneticPr fontId="1" type="noConversion"/>
  </si>
  <si>
    <t>Curtain Palm Tree</t>
    <phoneticPr fontId="1" type="noConversion"/>
  </si>
  <si>
    <t>ABC Weight</t>
    <phoneticPr fontId="1" type="noConversion"/>
  </si>
  <si>
    <t xml:space="preserve">calvin hamilton </t>
  </si>
  <si>
    <t>hamilcalvi106</t>
  </si>
  <si>
    <t>dmlamark@aol.com</t>
  </si>
  <si>
    <t>+1 804-721-6498</t>
  </si>
  <si>
    <t>VA</t>
    <phoneticPr fontId="1" type="noConversion"/>
  </si>
  <si>
    <t>Danna LaMark</t>
  </si>
  <si>
    <t>lamar-dann383</t>
  </si>
  <si>
    <t>beverlygkids@gmail.com</t>
  </si>
  <si>
    <t>+1 205-516-7911</t>
  </si>
  <si>
    <t>beverly lynn</t>
  </si>
  <si>
    <t>feffiie332</t>
  </si>
  <si>
    <t>VATIn</t>
    <phoneticPr fontId="1" type="noConversion"/>
  </si>
  <si>
    <t>fregosomonica@icloud.com</t>
  </si>
  <si>
    <t>+1 951-436-6531</t>
  </si>
  <si>
    <t>monica fregoso</t>
  </si>
  <si>
    <t>monifv7</t>
  </si>
  <si>
    <t>Dis/P</t>
    <phoneticPr fontId="1" type="noConversion"/>
  </si>
  <si>
    <t>felix solis</t>
  </si>
  <si>
    <t>sof_pr_n8kw7ehb0</t>
  </si>
  <si>
    <t>aprilfools8@msn.com</t>
  </si>
  <si>
    <t>+1 443-807-7117</t>
  </si>
  <si>
    <t>Rosemarie</t>
  </si>
  <si>
    <t>rosetorbert167</t>
  </si>
  <si>
    <t>Sheri Mine</t>
  </si>
  <si>
    <t>shermin_338</t>
  </si>
  <si>
    <t>sherimine7@gmail.com</t>
  </si>
  <si>
    <t>+1 317-748-2668</t>
  </si>
  <si>
    <t>IN</t>
    <phoneticPr fontId="1" type="noConversion"/>
  </si>
  <si>
    <t>Curtain Hula Girl</t>
    <phoneticPr fontId="1" type="noConversion"/>
  </si>
  <si>
    <t>Sun Shade Pool</t>
    <phoneticPr fontId="1" type="noConversion"/>
  </si>
  <si>
    <t>terryw222@yahoo.com</t>
  </si>
  <si>
    <t>+1 650-787-9183</t>
  </si>
  <si>
    <t>terry west</t>
  </si>
  <si>
    <t>wester-xokbrvwd110</t>
  </si>
  <si>
    <t>chechem08</t>
  </si>
  <si>
    <t>Chris Eche Martínez</t>
  </si>
  <si>
    <t>tortuga1323@gmail.com</t>
  </si>
  <si>
    <t>+1 787-378-8702</t>
  </si>
  <si>
    <t>hlte@comcast.net</t>
  </si>
  <si>
    <t>+1 610-322-2243</t>
  </si>
  <si>
    <t>Huot Te</t>
  </si>
  <si>
    <t>Norristown</t>
  </si>
  <si>
    <t>jastinson78@yahoo.com</t>
  </si>
  <si>
    <t>+1 302-824-5570</t>
  </si>
  <si>
    <t>johstinso1314</t>
  </si>
  <si>
    <t>Pool 6' x 20"</t>
    <phoneticPr fontId="1" type="noConversion"/>
  </si>
  <si>
    <t>jokergiants1100@gmail.com</t>
  </si>
  <si>
    <t>+1 203-906-0145</t>
  </si>
  <si>
    <t>CT</t>
    <phoneticPr fontId="1" type="noConversion"/>
  </si>
  <si>
    <t>wwwbebejose1@yahoo.com.mx</t>
  </si>
  <si>
    <t>jose ortiz</t>
  </si>
  <si>
    <t>bebemarro229</t>
  </si>
  <si>
    <t>+1 559-801-8814</t>
  </si>
  <si>
    <t>Jimmy Thornton</t>
  </si>
  <si>
    <t>j-ray222454</t>
  </si>
  <si>
    <t>captjimmyray@yahoo.com</t>
  </si>
  <si>
    <t>+1 228-493-2123</t>
  </si>
  <si>
    <t>MS</t>
    <phoneticPr fontId="1" type="noConversion"/>
  </si>
  <si>
    <t>David Galban</t>
  </si>
  <si>
    <t>jokergi5911</t>
  </si>
  <si>
    <t>Patricia A Doherty</t>
  </si>
  <si>
    <t>Pl Valve</t>
    <phoneticPr fontId="1" type="noConversion"/>
  </si>
  <si>
    <t>Plano</t>
    <phoneticPr fontId="1" type="noConversion"/>
  </si>
  <si>
    <t>Other</t>
    <phoneticPr fontId="1" type="noConversion"/>
  </si>
  <si>
    <t>yllim_977@hotmail.com</t>
  </si>
  <si>
    <t>frederik pacheco</t>
  </si>
  <si>
    <t>frederipachec055</t>
  </si>
  <si>
    <t>ramosfreddy1911@hotmail.com</t>
  </si>
  <si>
    <t>+1 214-299-1755</t>
  </si>
  <si>
    <t>kimberly jones</t>
  </si>
  <si>
    <t>starburstjones9629</t>
  </si>
  <si>
    <t>kimberlyjonesoffical@gmail.com</t>
  </si>
  <si>
    <t>+1 304-812-7910</t>
  </si>
  <si>
    <t>WV</t>
    <phoneticPr fontId="1" type="noConversion"/>
  </si>
  <si>
    <t>jmp7mag@yahoo.com</t>
  </si>
  <si>
    <t>+1 580-480-5672</t>
  </si>
  <si>
    <t>mike pelt</t>
  </si>
  <si>
    <t>fottumus200</t>
  </si>
  <si>
    <t>Intex 10722 Adaptor</t>
    <phoneticPr fontId="1" type="noConversion"/>
  </si>
  <si>
    <t>shwilliams_1979@yahoo.com</t>
  </si>
  <si>
    <t>+1 242-475-0925</t>
  </si>
  <si>
    <t>bs-saman211</t>
  </si>
  <si>
    <t>Austin Coers</t>
  </si>
  <si>
    <t>aussss567</t>
  </si>
  <si>
    <t>a_coers@hotmail.com</t>
  </si>
  <si>
    <t>+1 217-454-1358</t>
  </si>
  <si>
    <t>klipp99353@gmail.com</t>
  </si>
  <si>
    <t>+1 509-392-2216</t>
  </si>
  <si>
    <t>Kristi lipp</t>
  </si>
  <si>
    <t>kristlip_0305</t>
  </si>
  <si>
    <t>Curtain Fortune</t>
    <phoneticPr fontId="1" type="noConversion"/>
  </si>
  <si>
    <t>shrimpshack@hawaii.rr.com</t>
  </si>
  <si>
    <t>+1 808-256-5589</t>
  </si>
  <si>
    <t>HI</t>
    <phoneticPr fontId="1" type="noConversion"/>
  </si>
  <si>
    <t>Irene Theofanis</t>
  </si>
  <si>
    <t>Cancelled</t>
    <phoneticPr fontId="1" type="noConversion"/>
  </si>
  <si>
    <t>mago29sanchez@gmail.com</t>
  </si>
  <si>
    <t>+1 682-561-0560</t>
  </si>
  <si>
    <t>margarito sanchez</t>
  </si>
  <si>
    <t>staples102@mchsi.com</t>
  </si>
  <si>
    <t>+1 217-971-2190</t>
  </si>
  <si>
    <t>Matthew Brown</t>
  </si>
  <si>
    <t>chayse102213</t>
  </si>
  <si>
    <t>allanbecky3cord@yahoo.com</t>
  </si>
  <si>
    <t>+1 815-670-7890</t>
  </si>
  <si>
    <t>Rebecca Holder</t>
  </si>
  <si>
    <t>rebecholde.hifefbzwn100</t>
  </si>
  <si>
    <t>gerrylee53@yahoo.com</t>
  </si>
  <si>
    <t>+1 808-671-6072</t>
  </si>
  <si>
    <t>Gerry Hunter</t>
  </si>
  <si>
    <t>gerrylee808969</t>
  </si>
  <si>
    <t>Flambeau Box</t>
    <phoneticPr fontId="1" type="noConversion"/>
  </si>
  <si>
    <t>elmermolina16@yahoo.com</t>
  </si>
  <si>
    <t>+1 601-506-7286</t>
  </si>
  <si>
    <t>clifford1957@gmail.com</t>
  </si>
  <si>
    <t>+1 305-206-2891</t>
  </si>
  <si>
    <t>Collinsjuanitac571</t>
  </si>
  <si>
    <t>Shavonne</t>
  </si>
  <si>
    <t>alex@aewoodentoys.com</t>
  </si>
  <si>
    <t>+1 607-280-7525</t>
  </si>
  <si>
    <t>Intex Hose x 2</t>
    <phoneticPr fontId="1" type="noConversion"/>
  </si>
  <si>
    <t>Elmer Molina</t>
  </si>
  <si>
    <t>elmermolina14129</t>
  </si>
  <si>
    <t>Intex 10747 x 2</t>
    <phoneticPr fontId="1" type="noConversion"/>
  </si>
  <si>
    <t>alex e</t>
  </si>
  <si>
    <t>bigae6007950</t>
  </si>
  <si>
    <t>Kendall Vecchia</t>
  </si>
  <si>
    <t>kev.us.okrusjvgi3</t>
  </si>
  <si>
    <t>abriamkendall@yahoo.com</t>
  </si>
  <si>
    <t>+1 815-993-1733</t>
  </si>
  <si>
    <t>Cancelled by client</t>
    <phoneticPr fontId="1" type="noConversion"/>
  </si>
  <si>
    <t>Jose b gomez</t>
  </si>
  <si>
    <t>jose-b-gomez109</t>
  </si>
  <si>
    <t>Intex 10722</t>
    <phoneticPr fontId="1" type="noConversion"/>
  </si>
  <si>
    <t>benito26.jg64@gmail.com</t>
  </si>
  <si>
    <t>+1 856-200-9095</t>
  </si>
  <si>
    <t>Amy Teague</t>
  </si>
  <si>
    <t>am-teagu152</t>
  </si>
  <si>
    <t>amylynn3920@gmail.com</t>
  </si>
  <si>
    <t>+1 904-588-3103</t>
  </si>
  <si>
    <t>Ryan Proctor</t>
  </si>
  <si>
    <t>ryaprocto-8176</t>
  </si>
  <si>
    <t>rproctor1313@gmail.com</t>
  </si>
  <si>
    <t>+1 207-699-9504</t>
  </si>
  <si>
    <t>ME</t>
    <phoneticPr fontId="1" type="noConversion"/>
  </si>
  <si>
    <t>Intex 10747</t>
    <phoneticPr fontId="1" type="noConversion"/>
  </si>
  <si>
    <t>frank turner</t>
  </si>
  <si>
    <t>usfra-mtlwncf3306</t>
  </si>
  <si>
    <t>frankturner240@yahoo.com</t>
  </si>
  <si>
    <t>+1 859-693-9020</t>
  </si>
  <si>
    <t>Michal H. Moni</t>
  </si>
  <si>
    <t>michalmoni860</t>
  </si>
  <si>
    <t>michalmoni@aol.com</t>
  </si>
  <si>
    <t>+1 760-625-2229</t>
  </si>
  <si>
    <t>Ibrahim Jaddoh</t>
  </si>
  <si>
    <t>dr.ibra73</t>
  </si>
  <si>
    <t>i_m_n_j@hotmail.com</t>
  </si>
  <si>
    <t>+1 773-888-6766</t>
  </si>
  <si>
    <t>mdabela@sbcglobal.net</t>
  </si>
  <si>
    <t>+1 860-965-6877</t>
  </si>
  <si>
    <t>mario abela</t>
  </si>
  <si>
    <t>mabe920535</t>
  </si>
  <si>
    <t>james green</t>
  </si>
  <si>
    <t>baybum612012273</t>
  </si>
  <si>
    <t>baybum61@hotmail.com</t>
  </si>
  <si>
    <t>+1 713-433-5641</t>
  </si>
  <si>
    <t>brandiebervin1711</t>
  </si>
  <si>
    <t>brandieshort@rocketmail.com</t>
  </si>
  <si>
    <t>+1 423-408-0855</t>
  </si>
  <si>
    <t>Everardo Berber</t>
  </si>
  <si>
    <t>berbe-evera</t>
  </si>
  <si>
    <t>Geoko x 6</t>
    <phoneticPr fontId="1" type="noConversion"/>
  </si>
  <si>
    <t>polishchick851</t>
  </si>
  <si>
    <t>carolynbishop040@gmail.com</t>
  </si>
  <si>
    <t>+1 443-326-7430</t>
  </si>
  <si>
    <t>rgarren486@gmail.com</t>
  </si>
  <si>
    <t>+1 530-949-6394</t>
  </si>
  <si>
    <t>robert garren</t>
  </si>
  <si>
    <t>robgar-799946</t>
  </si>
  <si>
    <t>Milagros Matos X?</t>
    <phoneticPr fontId="1" type="noConversion"/>
  </si>
  <si>
    <t>Jenny Kim X?</t>
    <phoneticPr fontId="1" type="noConversion"/>
  </si>
  <si>
    <t>osmallvilleo@yahoo.com</t>
  </si>
  <si>
    <t>+1 607-744-9986</t>
  </si>
  <si>
    <t>Han Nguyen</t>
  </si>
  <si>
    <t>xlionheartx42317</t>
  </si>
  <si>
    <t>m_aingil@yahoo.com</t>
  </si>
  <si>
    <t>+1 717-507-1598</t>
  </si>
  <si>
    <t>Lori Williams</t>
  </si>
  <si>
    <t>wiliamslyn50</t>
  </si>
  <si>
    <t>wolfhawke@ymail.com</t>
  </si>
  <si>
    <t>+1 712-304-1199</t>
  </si>
  <si>
    <t>Cindy Sorenson</t>
  </si>
  <si>
    <t>mommadragoness250</t>
  </si>
  <si>
    <t>SeasonWide</t>
    <phoneticPr fontId="1" type="noConversion"/>
  </si>
  <si>
    <t>Luigi A Critelli</t>
  </si>
  <si>
    <t>l476422</t>
  </si>
  <si>
    <t>luigicritelli@sbcglobal.net</t>
  </si>
  <si>
    <t>+1 203-470-4522</t>
  </si>
  <si>
    <t>No Sold</t>
    <phoneticPr fontId="1" type="noConversion"/>
  </si>
  <si>
    <t>craig_chriscarson@comcast.net</t>
  </si>
  <si>
    <t>+1 207-353-9493</t>
  </si>
  <si>
    <t>ME</t>
    <phoneticPr fontId="1" type="noConversion"/>
  </si>
  <si>
    <t>CARSON B CRAIG</t>
  </si>
  <si>
    <t>carson-11465</t>
  </si>
  <si>
    <t xml:space="preserve"> </t>
    <phoneticPr fontId="1" type="noConversion"/>
  </si>
  <si>
    <t>fjoates@att.net</t>
  </si>
  <si>
    <t>+1 916-624-1547</t>
  </si>
  <si>
    <t>CA</t>
    <phoneticPr fontId="1" type="noConversion"/>
  </si>
  <si>
    <t>aebody-rick</t>
  </si>
  <si>
    <t>Rick Oates</t>
  </si>
  <si>
    <t>maribell6352@gmail.com</t>
  </si>
  <si>
    <t>+1 787-617-9255</t>
  </si>
  <si>
    <t>PR</t>
    <phoneticPr fontId="1" type="noConversion"/>
  </si>
  <si>
    <t>MARIBEL</t>
  </si>
  <si>
    <t>maribel6352</t>
  </si>
  <si>
    <t>rigobertoloragonzales@yahoo.com</t>
  </si>
  <si>
    <t>+1 334-319-2257</t>
  </si>
  <si>
    <t>AL</t>
    <phoneticPr fontId="1" type="noConversion"/>
  </si>
  <si>
    <t>No Sold</t>
    <phoneticPr fontId="1" type="noConversion"/>
  </si>
  <si>
    <t>Rigoberto Lara Gonzalez</t>
  </si>
  <si>
    <t>rigolarago</t>
  </si>
  <si>
    <t xml:space="preserve"> </t>
    <phoneticPr fontId="1" type="noConversion"/>
  </si>
  <si>
    <t>zd.sargent@gmail.com</t>
  </si>
  <si>
    <t>+1 763-219-0666</t>
  </si>
  <si>
    <t>MN</t>
    <phoneticPr fontId="1" type="noConversion"/>
  </si>
  <si>
    <t>Zachary Sargent</t>
  </si>
  <si>
    <t>zacha-sarge</t>
  </si>
  <si>
    <t>bettyjomay24@gmail.com</t>
  </si>
  <si>
    <t>+1 706-768-7688</t>
  </si>
  <si>
    <t>MT</t>
    <phoneticPr fontId="1" type="noConversion"/>
  </si>
  <si>
    <t>Betty Jo May</t>
  </si>
  <si>
    <t>maywhite2024</t>
  </si>
  <si>
    <t>robbiemorris78@gmail.com</t>
  </si>
  <si>
    <t>+1 601-540-0371</t>
  </si>
  <si>
    <t>MS</t>
    <phoneticPr fontId="1" type="noConversion"/>
  </si>
  <si>
    <t>robert morris</t>
  </si>
  <si>
    <t>stick1978</t>
  </si>
  <si>
    <t>darichetti1@aol.com</t>
  </si>
  <si>
    <t>+1 609-273-4340</t>
  </si>
  <si>
    <t>IL</t>
    <phoneticPr fontId="1" type="noConversion"/>
  </si>
  <si>
    <t>Dion Richetti</t>
  </si>
  <si>
    <t>larkjunior312</t>
    <phoneticPr fontId="1" type="noConversion"/>
  </si>
  <si>
    <t>emily_jose2@hotmail.com</t>
  </si>
  <si>
    <t>+1 787-649-4514</t>
  </si>
  <si>
    <t>PR</t>
    <phoneticPr fontId="1" type="noConversion"/>
  </si>
  <si>
    <t xml:space="preserve">Plano 1819 </t>
    <phoneticPr fontId="1" type="noConversion"/>
  </si>
  <si>
    <t>Emilia Garay</t>
  </si>
  <si>
    <t xml:space="preserve">emilia6062 </t>
  </si>
  <si>
    <t>rhajek@windstream.net</t>
  </si>
  <si>
    <t>+1 440-543-8973</t>
  </si>
  <si>
    <t>OH</t>
    <phoneticPr fontId="1" type="noConversion"/>
  </si>
  <si>
    <t>Bob Hajek</t>
  </si>
  <si>
    <t>alexbato81@yahoo.com</t>
  </si>
  <si>
    <t>+1 678-499-1518</t>
  </si>
  <si>
    <t>GA</t>
    <phoneticPr fontId="1" type="noConversion"/>
  </si>
  <si>
    <t>Intex 10722</t>
    <phoneticPr fontId="1" type="noConversion"/>
  </si>
  <si>
    <t>alexbato81</t>
  </si>
  <si>
    <t>vicente.guzman@live.com</t>
  </si>
  <si>
    <t>+1 760-337-2312</t>
  </si>
  <si>
    <t>CA</t>
    <phoneticPr fontId="1" type="noConversion"/>
  </si>
  <si>
    <t>VICENTE CONTRERAS</t>
  </si>
  <si>
    <t>vicente_cogu</t>
  </si>
  <si>
    <t>AE Paid</t>
    <phoneticPr fontId="1" type="noConversion"/>
  </si>
  <si>
    <t>29/08 - 14:25</t>
    <phoneticPr fontId="1" type="noConversion"/>
  </si>
  <si>
    <t>29/08 - 15:14</t>
    <phoneticPr fontId="1" type="noConversion"/>
  </si>
  <si>
    <t>Intex 10127</t>
    <phoneticPr fontId="1" type="noConversion"/>
  </si>
  <si>
    <t>Cheryl Carstensen</t>
  </si>
  <si>
    <t>goofygirlquilt</t>
  </si>
  <si>
    <t>carstensen@bresnan.net</t>
  </si>
  <si>
    <t>+1 307-686-5015</t>
  </si>
  <si>
    <t>WY</t>
    <phoneticPr fontId="1" type="noConversion"/>
  </si>
  <si>
    <t>30/08 - 01:21</t>
    <phoneticPr fontId="1" type="noConversion"/>
  </si>
  <si>
    <t>Curtain Bookcase</t>
    <phoneticPr fontId="1" type="noConversion"/>
  </si>
  <si>
    <t>lancegr89n@gmail.com</t>
  </si>
  <si>
    <t>+1 707-413-8279</t>
  </si>
  <si>
    <t>Lance Green</t>
  </si>
  <si>
    <t>lagr40870</t>
  </si>
  <si>
    <t>31/08 - 01:00</t>
    <phoneticPr fontId="1" type="noConversion"/>
  </si>
  <si>
    <r>
      <t xml:space="preserve">ha28623 / </t>
    </r>
    <r>
      <rPr>
        <sz val="10"/>
        <color rgb="FFFF0000"/>
        <rFont val="Arial Unicode MS"/>
        <family val="2"/>
        <charset val="136"/>
      </rPr>
      <t>Want Cancel</t>
    </r>
    <phoneticPr fontId="1" type="noConversion"/>
  </si>
  <si>
    <t>zori.rivera@yahoo.com</t>
  </si>
  <si>
    <t>+1 815-236-4934</t>
  </si>
  <si>
    <t>Cur Sea Window</t>
    <phoneticPr fontId="1" type="noConversion"/>
  </si>
  <si>
    <t>Zoraida Espino</t>
  </si>
  <si>
    <t xml:space="preserve">zesp4420 </t>
  </si>
  <si>
    <t>113-7566909-4865869</t>
  </si>
  <si>
    <t>31/08 - 15:00</t>
    <phoneticPr fontId="1" type="noConversion"/>
  </si>
  <si>
    <t>jrg91@yahoo.com</t>
  </si>
  <si>
    <t>+1 979-540-6898</t>
  </si>
  <si>
    <t>TX</t>
    <phoneticPr fontId="1" type="noConversion"/>
  </si>
  <si>
    <t xml:space="preserve">John Gonzales </t>
  </si>
  <si>
    <t>jrgtv</t>
  </si>
  <si>
    <t>01/09 - 01:30</t>
    <phoneticPr fontId="1" type="noConversion"/>
  </si>
  <si>
    <t>ray1navarro@yahoo.com</t>
  </si>
  <si>
    <t>+1 626-260-2327</t>
  </si>
  <si>
    <t>Ray Navarro</t>
  </si>
  <si>
    <t>graffitijunkee</t>
  </si>
  <si>
    <t xml:space="preserve">113-9981042-1690619 </t>
  </si>
  <si>
    <t>113-0912708-8541058</t>
  </si>
  <si>
    <t>01/09 - 03:11</t>
    <phoneticPr fontId="1" type="noConversion"/>
  </si>
  <si>
    <t>ascencioadolfo1@yahoo.com</t>
  </si>
  <si>
    <t>+1 805-236-6941</t>
  </si>
  <si>
    <t>mthopefarms@verizon.net</t>
  </si>
  <si>
    <t>+1 301-790-2372</t>
  </si>
  <si>
    <t>MD</t>
    <phoneticPr fontId="1" type="noConversion"/>
  </si>
  <si>
    <t>Dan Blickenstaff</t>
  </si>
  <si>
    <t>dasha53dan</t>
  </si>
  <si>
    <t>113-8079376-1487447</t>
  </si>
  <si>
    <t>02/09 - 03:00</t>
    <phoneticPr fontId="1" type="noConversion"/>
  </si>
  <si>
    <t>Declined 4:24</t>
    <phoneticPr fontId="1" type="noConversion"/>
  </si>
  <si>
    <t>Curtain Bookcase</t>
    <phoneticPr fontId="1" type="noConversion"/>
  </si>
  <si>
    <t>phila@onthestripradio.com</t>
  </si>
  <si>
    <t>+1 310-386-4432</t>
  </si>
  <si>
    <t>CA</t>
    <phoneticPr fontId="1" type="noConversion"/>
  </si>
  <si>
    <t>Phil Alexander</t>
  </si>
  <si>
    <t>osnphil</t>
  </si>
  <si>
    <t xml:space="preserve"> </t>
    <phoneticPr fontId="1" type="noConversion"/>
  </si>
  <si>
    <t>edwardskim935@yahoo.com</t>
  </si>
  <si>
    <t>+1 281-706-7225</t>
  </si>
  <si>
    <t>TX</t>
    <phoneticPr fontId="1" type="noConversion"/>
  </si>
  <si>
    <t>kim edwards</t>
  </si>
  <si>
    <t>edwar7225-yf74d4</t>
  </si>
  <si>
    <t>113-0973672-5382660</t>
  </si>
  <si>
    <t>Curtain Louver</t>
    <phoneticPr fontId="1" type="noConversion"/>
  </si>
  <si>
    <t>Vornado Fan</t>
  </si>
  <si>
    <t>03/09 - 02:27</t>
    <phoneticPr fontId="1" type="noConversion"/>
  </si>
  <si>
    <t>+1 313-689-5102</t>
  </si>
  <si>
    <t>MI</t>
    <phoneticPr fontId="1" type="noConversion"/>
  </si>
  <si>
    <t>gregory joganic</t>
  </si>
  <si>
    <t>gjog7438</t>
  </si>
  <si>
    <t>113-8309147-1404200</t>
  </si>
  <si>
    <t>03/09 - 02:45</t>
    <phoneticPr fontId="1" type="noConversion"/>
  </si>
  <si>
    <t>113-6301686-3656253</t>
  </si>
  <si>
    <t>113-2417106-2148231</t>
  </si>
  <si>
    <t>glendawheeler@bellsouth.net</t>
  </si>
  <si>
    <t>+1 601-798-1083</t>
  </si>
  <si>
    <t>MS</t>
    <phoneticPr fontId="1" type="noConversion"/>
  </si>
  <si>
    <t>glenda B. wheeler</t>
  </si>
  <si>
    <t>jillybean703</t>
  </si>
  <si>
    <t>113-2324349-6782629</t>
  </si>
  <si>
    <t>03/09 - 03:40</t>
    <phoneticPr fontId="1" type="noConversion"/>
  </si>
  <si>
    <t>tonyaguilar70@yahoo.com</t>
  </si>
  <si>
    <t>+1 832-526-6207</t>
  </si>
  <si>
    <t>lucio aguilar</t>
  </si>
  <si>
    <t>luciaguila32</t>
  </si>
  <si>
    <t>113-7509421-0453055</t>
  </si>
  <si>
    <t>03/09 - 08:14</t>
    <phoneticPr fontId="1" type="noConversion"/>
  </si>
  <si>
    <t>1ZW470E00342154980</t>
  </si>
  <si>
    <t>UPS</t>
    <phoneticPr fontId="1" type="noConversion"/>
  </si>
  <si>
    <t>113-9030977-4109841</t>
  </si>
  <si>
    <t xml:space="preserve"> </t>
    <phoneticPr fontId="1" type="noConversion"/>
  </si>
  <si>
    <t>tcuri@msillc.com</t>
  </si>
  <si>
    <t>+1 713-416-7359</t>
  </si>
  <si>
    <t>TX</t>
    <phoneticPr fontId="1" type="noConversion"/>
  </si>
  <si>
    <t>Curtain Louver</t>
    <phoneticPr fontId="1" type="noConversion"/>
  </si>
  <si>
    <t>Martins Curi</t>
  </si>
  <si>
    <t>marcu-2110</t>
  </si>
  <si>
    <t>debiboobear@yahoo.com</t>
  </si>
  <si>
    <t>+1 225-802-6992</t>
  </si>
  <si>
    <t>LA</t>
    <phoneticPr fontId="1" type="noConversion"/>
  </si>
  <si>
    <t>Debra Steinbach</t>
  </si>
  <si>
    <t>debyone</t>
  </si>
  <si>
    <t>113-0112460-8669846</t>
  </si>
  <si>
    <t>113-6691456-0537052</t>
  </si>
  <si>
    <t>04/09 - 20:20</t>
    <phoneticPr fontId="1" type="noConversion"/>
  </si>
  <si>
    <t>04/09 - 18:30</t>
    <phoneticPr fontId="1" type="noConversion"/>
  </si>
  <si>
    <t>scottoconnor60@yahoo.com</t>
  </si>
  <si>
    <t>+1 661-825-9372</t>
  </si>
  <si>
    <t>CA</t>
    <phoneticPr fontId="1" type="noConversion"/>
  </si>
  <si>
    <t>Scott O'Connor</t>
  </si>
  <si>
    <t>scotoconno9</t>
  </si>
  <si>
    <t>brandie short</t>
    <phoneticPr fontId="1" type="noConversion"/>
  </si>
  <si>
    <t>113-4287839-1465866</t>
  </si>
  <si>
    <t>05/09 - 22:00</t>
    <phoneticPr fontId="1" type="noConversion"/>
  </si>
  <si>
    <t>Intex Pump 1000</t>
    <phoneticPr fontId="1" type="noConversion"/>
  </si>
  <si>
    <t>Intex Adaptor A</t>
    <phoneticPr fontId="1" type="noConversion"/>
  </si>
  <si>
    <t xml:space="preserve">herwolfman1@hotmail.com </t>
  </si>
  <si>
    <t>+1 870-425-5858</t>
  </si>
  <si>
    <t>AR</t>
    <phoneticPr fontId="1" type="noConversion"/>
  </si>
  <si>
    <t>herwolfman</t>
  </si>
  <si>
    <t>arroyoj2012@gmail.com</t>
  </si>
  <si>
    <t>+1 787-385-1855</t>
  </si>
  <si>
    <t>PR</t>
    <phoneticPr fontId="1" type="noConversion"/>
  </si>
  <si>
    <t>joarroyo.2012</t>
  </si>
  <si>
    <t>chivy_36@hotmail.com</t>
  </si>
  <si>
    <t>+1 787-403-3550</t>
  </si>
  <si>
    <t>julio Rivera</t>
  </si>
  <si>
    <t>chivy1003</t>
  </si>
  <si>
    <t>Hermann J. Richter</t>
    <phoneticPr fontId="1" type="noConversion"/>
  </si>
  <si>
    <t>05/09 - 16:00</t>
    <phoneticPr fontId="1" type="noConversion"/>
  </si>
  <si>
    <t>113-9176813-1073000</t>
  </si>
  <si>
    <t>113-0161616-3982600</t>
  </si>
  <si>
    <t>eliseorodriguez@thephotosnap.com</t>
  </si>
  <si>
    <t>+1 786-234-7125</t>
  </si>
  <si>
    <t>FL</t>
    <phoneticPr fontId="1" type="noConversion"/>
  </si>
  <si>
    <t>Eliseo Rodriguez</t>
  </si>
  <si>
    <t>elirodr86</t>
  </si>
  <si>
    <t>07/09 - 09:45</t>
    <phoneticPr fontId="1" type="noConversion"/>
  </si>
  <si>
    <t>killerrbees@yahoo.com</t>
  </si>
  <si>
    <t>+1 408-607-6315</t>
  </si>
  <si>
    <t>Macon Sammons</t>
  </si>
  <si>
    <t>ibdragnass</t>
  </si>
  <si>
    <t>08/09 - 03:35</t>
    <phoneticPr fontId="1" type="noConversion"/>
  </si>
  <si>
    <t>113-7330129-7242617</t>
  </si>
  <si>
    <t xml:space="preserve">113-1178627-9407406 </t>
  </si>
  <si>
    <t>dfrye5252@gmail.com</t>
  </si>
  <si>
    <t>+1 337-965-1197</t>
  </si>
  <si>
    <t>LA</t>
    <phoneticPr fontId="1" type="noConversion"/>
  </si>
  <si>
    <t>danny r frye</t>
  </si>
  <si>
    <t>dfrye8311</t>
  </si>
  <si>
    <t>113-4902891-4288245</t>
  </si>
  <si>
    <t>08/09 - 01:00</t>
    <phoneticPr fontId="1" type="noConversion"/>
  </si>
  <si>
    <t>chrtre@aol.com</t>
  </si>
  <si>
    <t>+1 770-550-1794</t>
  </si>
  <si>
    <t>GA</t>
    <phoneticPr fontId="1" type="noConversion"/>
  </si>
  <si>
    <t>DONALD THAXTON</t>
  </si>
  <si>
    <t>donald0814</t>
  </si>
  <si>
    <t>113-4619272-2549042</t>
  </si>
  <si>
    <t>09/09 - 04:54</t>
    <phoneticPr fontId="1" type="noConversion"/>
  </si>
  <si>
    <t>Amazon IT Bag</t>
    <phoneticPr fontId="1" type="noConversion"/>
  </si>
  <si>
    <t>bgfear@machlink.com</t>
  </si>
  <si>
    <t>+1 563-264-5232</t>
  </si>
  <si>
    <t>IA</t>
    <phoneticPr fontId="1" type="noConversion"/>
  </si>
  <si>
    <t>Bradford G Fear</t>
  </si>
  <si>
    <t>bgfear</t>
  </si>
  <si>
    <t>Plano Tote 68 QT</t>
    <phoneticPr fontId="1" type="noConversion"/>
  </si>
  <si>
    <t>arossbailey@aol.com</t>
  </si>
  <si>
    <t>+1 928-830-5044</t>
  </si>
  <si>
    <t>CO</t>
    <phoneticPr fontId="1" type="noConversion"/>
  </si>
  <si>
    <t>Andrew Bailey</t>
  </si>
  <si>
    <t>arossbailey2010</t>
  </si>
  <si>
    <t>Curtain Bookcase</t>
    <phoneticPr fontId="1" type="noConversion"/>
  </si>
  <si>
    <t>Intex Maint Kit</t>
    <phoneticPr fontId="1" type="noConversion"/>
  </si>
  <si>
    <t>spattdog69@aol.com</t>
  </si>
  <si>
    <t>+1 218-349-9699</t>
  </si>
  <si>
    <t>MN</t>
    <phoneticPr fontId="1" type="noConversion"/>
  </si>
  <si>
    <t>Levi A Pearson</t>
  </si>
  <si>
    <t>spattdog699au4</t>
  </si>
  <si>
    <t>lamafadel@hotmail.com</t>
  </si>
  <si>
    <t>+1 805-598-5038</t>
  </si>
  <si>
    <t>CA</t>
    <phoneticPr fontId="1" type="noConversion"/>
  </si>
  <si>
    <t>Lama Fadel</t>
  </si>
  <si>
    <t>lamafadel7</t>
  </si>
  <si>
    <t>10/09 - 02:17</t>
    <phoneticPr fontId="1" type="noConversion"/>
  </si>
  <si>
    <t>113-0369871-6298621</t>
  </si>
  <si>
    <t>113-9753134-6161012</t>
  </si>
  <si>
    <t>10/09 - 03:51</t>
    <phoneticPr fontId="1" type="noConversion"/>
  </si>
  <si>
    <t>Curtain Jolly Roger</t>
    <phoneticPr fontId="1" type="noConversion"/>
  </si>
  <si>
    <t>113-9697510-1119421</t>
  </si>
  <si>
    <t>10/09 - 14:00</t>
    <phoneticPr fontId="1" type="noConversion"/>
  </si>
  <si>
    <t>113-9922911-7064261</t>
  </si>
  <si>
    <t>10/09 - 14:36</t>
    <phoneticPr fontId="1" type="noConversion"/>
  </si>
  <si>
    <t>113-4102879-3326633</t>
  </si>
  <si>
    <t>shamrockshane_00@yahoo.com</t>
  </si>
  <si>
    <t>+1 740-513-9754</t>
  </si>
  <si>
    <t>OH</t>
    <phoneticPr fontId="1" type="noConversion"/>
  </si>
  <si>
    <t>ozzyluge</t>
  </si>
  <si>
    <t>Harold Young</t>
  </si>
  <si>
    <t>113-8476281-9929860</t>
  </si>
  <si>
    <t>11/09 - 02:20</t>
    <phoneticPr fontId="1" type="noConversion"/>
  </si>
  <si>
    <t>sonny.cantrell@att.net</t>
  </si>
  <si>
    <t xml:space="preserve">+1 937-643-2891 </t>
  </si>
  <si>
    <t>Curtain By The Sea</t>
    <phoneticPr fontId="1" type="noConversion"/>
  </si>
  <si>
    <t>Tim Cornett</t>
  </si>
  <si>
    <t>faithsuntim</t>
  </si>
  <si>
    <t>113-6456618-0240250</t>
  </si>
  <si>
    <t>11/09 - 04:34</t>
    <phoneticPr fontId="1" type="noConversion"/>
  </si>
  <si>
    <t>Refunded</t>
    <phoneticPr fontId="1" type="noConversion"/>
  </si>
  <si>
    <t>mzsocialbuttercup@gmail.com</t>
  </si>
  <si>
    <t>+1 340-244-4687</t>
  </si>
  <si>
    <t>VI</t>
    <phoneticPr fontId="1" type="noConversion"/>
  </si>
  <si>
    <t>Flambeau Tackle</t>
    <phoneticPr fontId="1" type="noConversion"/>
  </si>
  <si>
    <t>LaNiqua Battiste</t>
  </si>
  <si>
    <t>lbat3722</t>
  </si>
  <si>
    <t>lazz4141b@gmail.com</t>
  </si>
  <si>
    <t>+1 305-970-2924</t>
  </si>
  <si>
    <t>FL</t>
    <phoneticPr fontId="1" type="noConversion"/>
  </si>
  <si>
    <t>Hayward Skimmer</t>
    <phoneticPr fontId="1" type="noConversion"/>
  </si>
  <si>
    <t>Lazaro Romero</t>
  </si>
  <si>
    <t>rome.laza</t>
  </si>
  <si>
    <t>113-0812208-0270607</t>
  </si>
  <si>
    <t>12/09 - 02:54</t>
    <phoneticPr fontId="1" type="noConversion"/>
  </si>
  <si>
    <t>Intex 10722</t>
    <phoneticPr fontId="1" type="noConversion"/>
  </si>
  <si>
    <t>+1 727-267-3670</t>
  </si>
  <si>
    <t>pmayo2@verizon.net</t>
  </si>
  <si>
    <t>philipn mayo</t>
  </si>
  <si>
    <t>philipnmayo</t>
  </si>
  <si>
    <t xml:space="preserve">113-7981442-0005026 </t>
  </si>
  <si>
    <t>12/09 - 03:11</t>
    <phoneticPr fontId="1" type="noConversion"/>
  </si>
  <si>
    <t xml:space="preserve"> </t>
    <phoneticPr fontId="1" type="noConversion"/>
  </si>
  <si>
    <t>jdc_1784@yahoo.com</t>
  </si>
  <si>
    <t>+1 661-747-6044</t>
  </si>
  <si>
    <t>12/09 - 18:45</t>
    <phoneticPr fontId="1" type="noConversion"/>
  </si>
  <si>
    <t>Joseph Crotwell</t>
  </si>
  <si>
    <t>jdc178413</t>
  </si>
  <si>
    <t>113-4216118-8067419</t>
  </si>
  <si>
    <t>Coleman Stove</t>
    <phoneticPr fontId="1" type="noConversion"/>
  </si>
  <si>
    <t>US Weight 20 lb</t>
    <phoneticPr fontId="1" type="noConversion"/>
  </si>
  <si>
    <t>duzw1983@gmail.com</t>
  </si>
  <si>
    <t>+1 213-713-9976</t>
  </si>
  <si>
    <t>Zhuowei Du</t>
  </si>
  <si>
    <t>zhu-5859</t>
  </si>
  <si>
    <t>113-4066752-2770647</t>
  </si>
  <si>
    <t>13/09 - 08:10</t>
    <phoneticPr fontId="1" type="noConversion"/>
  </si>
  <si>
    <t>purplebug45@yahoo.com</t>
  </si>
  <si>
    <t>+1 304-437-2147</t>
  </si>
  <si>
    <t>WV</t>
    <phoneticPr fontId="1" type="noConversion"/>
  </si>
  <si>
    <t>Pamela Saltsgaver</t>
  </si>
  <si>
    <t>us.salts</t>
  </si>
  <si>
    <t>113-0219177-3617859</t>
  </si>
  <si>
    <t>13/09 - 08:30</t>
    <phoneticPr fontId="1" type="noConversion"/>
  </si>
  <si>
    <t>Juan Arroyo Return</t>
    <phoneticPr fontId="1" type="noConversion"/>
  </si>
  <si>
    <t>jenniferreichenbach@hotmail.com</t>
  </si>
  <si>
    <t>+1 540-664-0039</t>
  </si>
  <si>
    <t>WV</t>
    <phoneticPr fontId="1" type="noConversion"/>
  </si>
  <si>
    <t>Jennifer Smith</t>
  </si>
  <si>
    <t>reichjenni</t>
  </si>
  <si>
    <t>113-6378575-4085839</t>
  </si>
  <si>
    <t>14/09 - 05:25</t>
    <phoneticPr fontId="1" type="noConversion"/>
  </si>
  <si>
    <t>carloszepeda1818@gmail.com</t>
  </si>
  <si>
    <t>+1 928-315-0343</t>
  </si>
  <si>
    <t>AZ</t>
    <phoneticPr fontId="1" type="noConversion"/>
  </si>
  <si>
    <t>Carlos Zepeda</t>
  </si>
  <si>
    <t>carlozeped_73</t>
  </si>
  <si>
    <t>113-3694714-1933034</t>
  </si>
  <si>
    <t>14/09 - 21:00</t>
    <phoneticPr fontId="1" type="noConversion"/>
  </si>
  <si>
    <t>Prom</t>
    <phoneticPr fontId="1" type="noConversion"/>
  </si>
  <si>
    <t xml:space="preserve"> </t>
    <phoneticPr fontId="1" type="noConversion"/>
  </si>
  <si>
    <t>113-5398399-5484241</t>
  </si>
  <si>
    <t>14/09 -21:00</t>
    <phoneticPr fontId="1" type="noConversion"/>
  </si>
  <si>
    <t>Coldest bottle</t>
    <phoneticPr fontId="1" type="noConversion"/>
  </si>
  <si>
    <t>Intex Adaptor Ax2</t>
    <phoneticPr fontId="1" type="noConversion"/>
  </si>
  <si>
    <t>Carlos Benitez</t>
  </si>
  <si>
    <t>cbeni4568474g3</t>
  </si>
  <si>
    <t>NY</t>
    <phoneticPr fontId="1" type="noConversion"/>
  </si>
  <si>
    <t>cbeni45684@aol.com</t>
  </si>
  <si>
    <t>+1 718-845-6146</t>
  </si>
  <si>
    <t>16/09 -03:00</t>
    <phoneticPr fontId="1" type="noConversion"/>
  </si>
  <si>
    <t>113-9404884-5399400</t>
  </si>
  <si>
    <t>Michael J. Hickey</t>
  </si>
  <si>
    <t>on-his-way</t>
  </si>
  <si>
    <t>113-2018391-8910629</t>
  </si>
  <si>
    <t>heedhiscall@yahoo.com</t>
  </si>
  <si>
    <t>+1 858-735-3013</t>
  </si>
  <si>
    <t>CA</t>
    <phoneticPr fontId="1" type="noConversion"/>
  </si>
  <si>
    <t>16/09 -03:22</t>
    <phoneticPr fontId="1" type="noConversion"/>
  </si>
  <si>
    <t>113-3494329-0815405</t>
  </si>
  <si>
    <t>16/09 -03:33</t>
    <phoneticPr fontId="1" type="noConversion"/>
  </si>
  <si>
    <t>marvb1904@gmail.com</t>
  </si>
  <si>
    <t>+1 808-987-4675</t>
  </si>
  <si>
    <t>HI</t>
    <phoneticPr fontId="1" type="noConversion"/>
  </si>
  <si>
    <t>Marvin Barron</t>
  </si>
  <si>
    <t>snoryder858</t>
  </si>
  <si>
    <t>113-5461244-8711456</t>
  </si>
  <si>
    <t>16/09 -03:40</t>
    <phoneticPr fontId="1" type="noConversion"/>
  </si>
  <si>
    <t>mellowyelloe@juno.com</t>
  </si>
  <si>
    <t>+1 417-622-8056</t>
  </si>
  <si>
    <t>MO</t>
    <phoneticPr fontId="1" type="noConversion"/>
  </si>
  <si>
    <t>Richard Fedie</t>
  </si>
  <si>
    <t>gqup</t>
  </si>
  <si>
    <t>SeasonSide</t>
    <phoneticPr fontId="1" type="noConversion"/>
  </si>
  <si>
    <t>OH</t>
    <phoneticPr fontId="1" type="noConversion"/>
  </si>
  <si>
    <t>aurand.23@gmail.com</t>
  </si>
  <si>
    <t>+1 330-224-7676</t>
  </si>
  <si>
    <t>Jess Aurand</t>
  </si>
  <si>
    <t>michael sigmon</t>
  </si>
  <si>
    <t>vintage2*123</t>
  </si>
  <si>
    <t>113-4935179-5744269</t>
  </si>
  <si>
    <t>17/09 -00:45</t>
    <phoneticPr fontId="1" type="noConversion"/>
  </si>
  <si>
    <t>AEON Master</t>
    <phoneticPr fontId="1" type="noConversion"/>
  </si>
  <si>
    <t>mrsigmon@att.net</t>
  </si>
  <si>
    <t>+1 828-465-6686</t>
  </si>
  <si>
    <t>NC</t>
    <phoneticPr fontId="1" type="noConversion"/>
  </si>
  <si>
    <t>Flores-Riveros</t>
  </si>
  <si>
    <t>jfriveros@amerstem.com</t>
  </si>
  <si>
    <t>+1 805-573-3883</t>
  </si>
  <si>
    <t>CA</t>
    <phoneticPr fontId="1" type="noConversion"/>
  </si>
  <si>
    <t>thecoldestwater</t>
  </si>
  <si>
    <t>17/09 -03:00</t>
    <phoneticPr fontId="1" type="noConversion"/>
  </si>
  <si>
    <t>113-1842982-4466639</t>
  </si>
  <si>
    <t>17/09 -03:45</t>
    <phoneticPr fontId="1" type="noConversion"/>
  </si>
  <si>
    <t>17/09 -04:30</t>
    <phoneticPr fontId="1" type="noConversion"/>
  </si>
  <si>
    <t>17/09 -04:41</t>
    <phoneticPr fontId="1" type="noConversion"/>
  </si>
  <si>
    <t>jeremy fulks</t>
  </si>
  <si>
    <t>jeremyfulks1703@att.net</t>
  </si>
  <si>
    <t>+1 256-412-8398</t>
  </si>
  <si>
    <t>AL</t>
    <phoneticPr fontId="1" type="noConversion"/>
  </si>
  <si>
    <t>americas*super*deals</t>
  </si>
  <si>
    <t>WindySuperStore</t>
    <phoneticPr fontId="1" type="noConversion"/>
  </si>
  <si>
    <t>Plano Tote XXL</t>
    <phoneticPr fontId="1" type="noConversion"/>
  </si>
  <si>
    <t>Intex Hose 1.5</t>
    <phoneticPr fontId="1" type="noConversion"/>
  </si>
  <si>
    <t>Travis Schuster</t>
  </si>
  <si>
    <t>jdguy51</t>
  </si>
  <si>
    <t>johndeereguy51@gmail.com</t>
  </si>
  <si>
    <t>+1 920-655-3475</t>
  </si>
  <si>
    <t>WI</t>
    <phoneticPr fontId="1" type="noConversion"/>
  </si>
  <si>
    <t>Miriam Ross</t>
  </si>
  <si>
    <t>socialworker38</t>
  </si>
  <si>
    <t>socialworker38@yahoo.com</t>
  </si>
  <si>
    <t>+1 706-761-3377</t>
  </si>
  <si>
    <t>18/09 -12:15</t>
    <phoneticPr fontId="1" type="noConversion"/>
  </si>
  <si>
    <t>113-6885271-1720259</t>
  </si>
  <si>
    <t>113-9487382-9665856</t>
  </si>
  <si>
    <t>18/09 -16:12</t>
    <phoneticPr fontId="1" type="noConversion"/>
  </si>
  <si>
    <t>18/09 -23:45</t>
    <phoneticPr fontId="1" type="noConversion"/>
  </si>
  <si>
    <t>18/09 -23:46</t>
    <phoneticPr fontId="1" type="noConversion"/>
  </si>
  <si>
    <t>Refunded to AEON</t>
    <phoneticPr fontId="1" type="noConversion"/>
  </si>
  <si>
    <t>jaurand93 -- Return</t>
    <phoneticPr fontId="1" type="noConversion"/>
  </si>
  <si>
    <t>ljinc05@yahoo.com</t>
  </si>
  <si>
    <t>+1 575-546-4525</t>
  </si>
  <si>
    <t>NM</t>
    <phoneticPr fontId="1" type="noConversion"/>
  </si>
  <si>
    <t>Lawrence Jenkins</t>
  </si>
  <si>
    <t>cps_80530</t>
  </si>
  <si>
    <t>113-0145315-9340247</t>
  </si>
  <si>
    <t>19/09 -22:55</t>
    <phoneticPr fontId="1" type="noConversion"/>
  </si>
  <si>
    <t>Partin Susanne</t>
  </si>
  <si>
    <t>susannep</t>
  </si>
  <si>
    <t>priddyhorses@centex.net</t>
  </si>
  <si>
    <t>+1 325-451-0339</t>
  </si>
  <si>
    <t>TX</t>
    <phoneticPr fontId="1" type="noConversion"/>
  </si>
  <si>
    <t>20/09 -05:01</t>
    <phoneticPr fontId="1" type="noConversion"/>
  </si>
  <si>
    <t>AEON</t>
    <phoneticPr fontId="1" type="noConversion"/>
  </si>
  <si>
    <t>113-4272353-7939455</t>
  </si>
  <si>
    <t>Curtain Louver</t>
    <phoneticPr fontId="1" type="noConversion"/>
  </si>
  <si>
    <t>Bruce Pack</t>
  </si>
  <si>
    <t>juicenbrudy</t>
  </si>
  <si>
    <t xml:space="preserve"> </t>
    <phoneticPr fontId="1" type="noConversion"/>
  </si>
  <si>
    <t>packnpoe@juno.com</t>
  </si>
  <si>
    <t>+1 715-791-0048</t>
  </si>
  <si>
    <t>WI</t>
    <phoneticPr fontId="1" type="noConversion"/>
  </si>
  <si>
    <t>21/09 -03:00</t>
    <phoneticPr fontId="1" type="noConversion"/>
  </si>
  <si>
    <t>Curtain Jolly Roger</t>
    <phoneticPr fontId="1" type="noConversion"/>
  </si>
  <si>
    <t>NO</t>
    <phoneticPr fontId="1" type="noConversion"/>
  </si>
  <si>
    <t>ultrasounding@hotmail.com</t>
  </si>
  <si>
    <t>+1 505-440-5913</t>
  </si>
  <si>
    <t>NM</t>
    <phoneticPr fontId="1" type="noConversion"/>
  </si>
  <si>
    <t>riverraider505</t>
  </si>
  <si>
    <t>Albuquerque</t>
  </si>
  <si>
    <t>22/09 -03:28</t>
    <phoneticPr fontId="1" type="noConversion"/>
  </si>
  <si>
    <t>Liyo Seecharan</t>
  </si>
  <si>
    <t>NY</t>
    <phoneticPr fontId="1" type="noConversion"/>
  </si>
  <si>
    <t>seepersaud68@gmail.com</t>
  </si>
  <si>
    <t>+1 718-738-0878</t>
  </si>
  <si>
    <t>PayPal</t>
    <phoneticPr fontId="1" type="noConversion"/>
  </si>
  <si>
    <t>ERNESTO ELEFANTE</t>
  </si>
  <si>
    <t>archie280</t>
  </si>
  <si>
    <t>rcetejr@aol.com</t>
  </si>
  <si>
    <t>+1 501-658-7043</t>
  </si>
  <si>
    <t>AR</t>
    <phoneticPr fontId="1" type="noConversion"/>
  </si>
  <si>
    <t>113-8774084-6385066</t>
  </si>
  <si>
    <t>Intex 10747</t>
    <phoneticPr fontId="1" type="noConversion"/>
  </si>
  <si>
    <t>Danny Edwards</t>
  </si>
  <si>
    <t>dannedward_60</t>
  </si>
  <si>
    <t>NC</t>
    <phoneticPr fontId="1" type="noConversion"/>
  </si>
  <si>
    <t>dkedwards1954@gmail.com</t>
  </si>
  <si>
    <t>+1 828-817-0402</t>
  </si>
  <si>
    <t>25/09 -12:00</t>
    <phoneticPr fontId="1" type="noConversion"/>
  </si>
  <si>
    <t>113-6268417-2163401</t>
  </si>
  <si>
    <t>steven hanes</t>
  </si>
  <si>
    <t>steha2919</t>
  </si>
  <si>
    <t>Hayward Vac</t>
    <phoneticPr fontId="1" type="noConversion"/>
  </si>
  <si>
    <t>stevenhanes21@msn.com</t>
  </si>
  <si>
    <t>+1 661-238-5247</t>
  </si>
  <si>
    <t>TX</t>
    <phoneticPr fontId="1" type="noConversion"/>
  </si>
  <si>
    <t>No</t>
    <phoneticPr fontId="1" type="noConversion"/>
  </si>
  <si>
    <t>Jane Wolf</t>
  </si>
  <si>
    <t>jawo7106</t>
  </si>
  <si>
    <t>wolfjane9@gmail.com</t>
  </si>
  <si>
    <t>+1 970-209-1901</t>
  </si>
  <si>
    <t>CO</t>
    <phoneticPr fontId="1" type="noConversion"/>
  </si>
  <si>
    <t>Cancel Upto Here</t>
    <phoneticPr fontId="1" type="noConversion"/>
  </si>
  <si>
    <t>Turtle - 3 piece</t>
    <phoneticPr fontId="1" type="noConversion"/>
  </si>
  <si>
    <t>Aliyah Edwards</t>
  </si>
  <si>
    <t>kyngreed6</t>
  </si>
  <si>
    <t>edwards.aliyah@yahoo.com</t>
  </si>
  <si>
    <t>+1 816-255-8541</t>
  </si>
  <si>
    <t>KS</t>
    <phoneticPr fontId="1" type="noConversion"/>
  </si>
  <si>
    <t>29/09 -03:45</t>
    <phoneticPr fontId="1" type="noConversion"/>
  </si>
  <si>
    <t>Herbert T. Cooke</t>
  </si>
  <si>
    <t>****hc</t>
  </si>
  <si>
    <t>hlcooke4@wildblue.net</t>
  </si>
  <si>
    <t>+1 660-547-2723</t>
  </si>
  <si>
    <t>MO</t>
    <phoneticPr fontId="1" type="noConversion"/>
  </si>
  <si>
    <t>113-5741880-3893813</t>
  </si>
  <si>
    <t>Plano Tote 56 Q</t>
    <phoneticPr fontId="1" type="noConversion"/>
  </si>
  <si>
    <t>113-2774414-4397059</t>
  </si>
  <si>
    <t>GC</t>
    <phoneticPr fontId="1" type="noConversion"/>
  </si>
  <si>
    <t xml:space="preserve"> </t>
    <phoneticPr fontId="1" type="noConversion"/>
  </si>
  <si>
    <t>GC</t>
    <phoneticPr fontId="1" type="noConversion"/>
  </si>
  <si>
    <t>113-2180945-4457009</t>
  </si>
  <si>
    <t>Richard Mays</t>
  </si>
  <si>
    <t>tinyhillbilly52</t>
  </si>
  <si>
    <t>rcmays1952@yahoo.com</t>
  </si>
  <si>
    <t>+1 479-746-1205</t>
  </si>
  <si>
    <t>AR</t>
  </si>
  <si>
    <t>Curtain Bamboo Stalk</t>
    <phoneticPr fontId="1" type="noConversion"/>
  </si>
  <si>
    <t>NO</t>
    <phoneticPr fontId="1" type="noConversion"/>
  </si>
  <si>
    <t>Kirk T Reidinger</t>
  </si>
  <si>
    <t>looking_for_mrs._goodbar</t>
  </si>
  <si>
    <t>kreidinger@srbcpa.com</t>
  </si>
  <si>
    <t>+1 949-230-6632</t>
  </si>
  <si>
    <t>CA</t>
    <phoneticPr fontId="1" type="noConversion"/>
  </si>
  <si>
    <t>113-7354133-1986649</t>
  </si>
  <si>
    <t>113-1805431-5635453</t>
  </si>
  <si>
    <t>Intex 10727</t>
    <phoneticPr fontId="1" type="noConversion"/>
  </si>
  <si>
    <t>Kayla Monroe</t>
  </si>
  <si>
    <t>kaila15m</t>
  </si>
  <si>
    <t>kaila15_2001@yahoo.com</t>
  </si>
  <si>
    <t>+1 806-494-2443</t>
  </si>
  <si>
    <t>TX</t>
    <phoneticPr fontId="1" type="noConversion"/>
  </si>
  <si>
    <t>Intex Adator A</t>
    <phoneticPr fontId="1" type="noConversion"/>
  </si>
  <si>
    <t>Guido chan</t>
  </si>
  <si>
    <t>guigus00</t>
  </si>
  <si>
    <t>guigus00@hotmail.com</t>
  </si>
  <si>
    <t>+1 305-609-8968</t>
  </si>
  <si>
    <t>FL</t>
    <phoneticPr fontId="1" type="noConversion"/>
  </si>
  <si>
    <t>113-2530101-5152207</t>
  </si>
  <si>
    <t>Troy Huffman</t>
  </si>
  <si>
    <t>hufftro</t>
  </si>
  <si>
    <t>113-2629882-9311444</t>
  </si>
  <si>
    <t>teh100035@yahoo.com</t>
  </si>
  <si>
    <t>+1 678-209-6589</t>
  </si>
  <si>
    <t>GA</t>
    <phoneticPr fontId="1" type="noConversion"/>
  </si>
  <si>
    <t>Curtain Mona Lisa</t>
    <phoneticPr fontId="1" type="noConversion"/>
  </si>
  <si>
    <t>Timothy Horton</t>
  </si>
  <si>
    <t>retro274</t>
  </si>
  <si>
    <t>tim.horton24@yahoo.com</t>
  </si>
  <si>
    <t>+1 601-927-8842</t>
  </si>
  <si>
    <t>MS</t>
    <phoneticPr fontId="1" type="noConversion"/>
  </si>
  <si>
    <t>113-7149674-8533833</t>
  </si>
  <si>
    <t>Bill LeJeune</t>
  </si>
  <si>
    <t>campljn</t>
  </si>
  <si>
    <t>campljn@yahoo.com</t>
  </si>
  <si>
    <t>+1 318-451-4544</t>
  </si>
  <si>
    <t>LA</t>
  </si>
  <si>
    <t>113-1939946-8027440</t>
  </si>
  <si>
    <t>Cat Angel</t>
    <phoneticPr fontId="1" type="noConversion"/>
  </si>
  <si>
    <t>Curtain Chakra</t>
    <phoneticPr fontId="1" type="noConversion"/>
  </si>
  <si>
    <t>Diana Culberson</t>
  </si>
  <si>
    <t>geckosmack</t>
  </si>
  <si>
    <t>thecubman@comcast.net</t>
  </si>
  <si>
    <t>+1 770-881-4897</t>
  </si>
  <si>
    <t>Dan J Kuschill</t>
  </si>
  <si>
    <t>lightedpinballmods</t>
  </si>
  <si>
    <t>victoriasspecial@aol.com</t>
  </si>
  <si>
    <t>+1 912-674-1322</t>
  </si>
  <si>
    <t>GA</t>
  </si>
  <si>
    <t>113-7962840-8013868</t>
  </si>
  <si>
    <t>GC</t>
    <phoneticPr fontId="1" type="noConversion"/>
  </si>
  <si>
    <t>william rivera</t>
  </si>
  <si>
    <t>tasha413</t>
  </si>
  <si>
    <t>william430@hotmail.com</t>
  </si>
  <si>
    <t>+1 787-367-3190</t>
  </si>
  <si>
    <t>PR</t>
  </si>
  <si>
    <t>113-7332387-7743457</t>
  </si>
  <si>
    <t>113-8506904-7514613</t>
  </si>
  <si>
    <t>GC</t>
    <phoneticPr fontId="1" type="noConversion"/>
  </si>
  <si>
    <t>PA</t>
    <phoneticPr fontId="1" type="noConversion"/>
  </si>
  <si>
    <t>jeniferrellez@gmail.com</t>
  </si>
  <si>
    <t>+1 570-389-9084</t>
  </si>
  <si>
    <t>noe rodriguez</t>
  </si>
  <si>
    <t>jeniferrellez-8</t>
  </si>
  <si>
    <t>Curtain Louver</t>
    <phoneticPr fontId="1" type="noConversion"/>
  </si>
  <si>
    <t>113-5965233-7058667</t>
  </si>
  <si>
    <t>GC</t>
    <phoneticPr fontId="1" type="noConversion"/>
  </si>
  <si>
    <t>MO</t>
    <phoneticPr fontId="1" type="noConversion"/>
  </si>
  <si>
    <t>Intex 10727</t>
    <phoneticPr fontId="1" type="noConversion"/>
  </si>
  <si>
    <t>jeff muir</t>
  </si>
  <si>
    <t>jemu-6691</t>
  </si>
  <si>
    <t>jeffero127@gmail.com</t>
  </si>
  <si>
    <t>+1 440-623-5972</t>
  </si>
  <si>
    <t>OH</t>
    <phoneticPr fontId="1" type="noConversion"/>
  </si>
  <si>
    <t>US Weight 40lb</t>
    <phoneticPr fontId="1" type="noConversion"/>
  </si>
  <si>
    <t>Angela Chronis</t>
  </si>
  <si>
    <t>achronis1987</t>
  </si>
  <si>
    <t>achronis87@gmail.com</t>
  </si>
  <si>
    <t>+1 832-472-3876</t>
  </si>
  <si>
    <t>TX</t>
    <phoneticPr fontId="1" type="noConversion"/>
  </si>
  <si>
    <t>Intex Maint Kit</t>
    <phoneticPr fontId="1" type="noConversion"/>
  </si>
  <si>
    <t>Jonathan Cook</t>
  </si>
  <si>
    <t>jonjonacoo</t>
  </si>
  <si>
    <t>jonathancook813@yahoo.com</t>
  </si>
  <si>
    <t>+1 936-499-0777</t>
  </si>
  <si>
    <t>Intex Adator B</t>
    <phoneticPr fontId="1" type="noConversion"/>
  </si>
  <si>
    <t>Ed Losada</t>
  </si>
  <si>
    <t>losada9682</t>
  </si>
  <si>
    <t>caejl@aol.com</t>
  </si>
  <si>
    <t>+1 916-698-6267</t>
  </si>
  <si>
    <t>CA</t>
    <phoneticPr fontId="1" type="noConversion"/>
  </si>
  <si>
    <t>113-8658835-6869060</t>
  </si>
  <si>
    <t>Curtain Am - Sunset</t>
    <phoneticPr fontId="1" type="noConversion"/>
  </si>
  <si>
    <t>113-6257070-5672225</t>
  </si>
  <si>
    <t>Intex Adaptor A</t>
    <phoneticPr fontId="1" type="noConversion"/>
  </si>
  <si>
    <t>gary smith</t>
  </si>
  <si>
    <t>kissarmy708</t>
  </si>
  <si>
    <t>gsmith385@tampabay.rr.com</t>
  </si>
  <si>
    <t>+1 863-440-8767</t>
  </si>
  <si>
    <t>FL</t>
    <phoneticPr fontId="1" type="noConversion"/>
  </si>
  <si>
    <t>113-1074523-6961068</t>
  </si>
  <si>
    <t>Samuel Rivera</t>
  </si>
  <si>
    <t>mexican646</t>
  </si>
  <si>
    <t>samuelrivera2@tmail.com</t>
  </si>
  <si>
    <t>+1 646-591-6184</t>
  </si>
  <si>
    <t>NY</t>
    <phoneticPr fontId="1" type="noConversion"/>
  </si>
  <si>
    <r>
      <t xml:space="preserve">ese300zx --------- </t>
    </r>
    <r>
      <rPr>
        <sz val="10"/>
        <color rgb="FFFF0000"/>
        <rFont val="Arial Unicode MS"/>
        <family val="2"/>
        <charset val="136"/>
      </rPr>
      <t>XXX</t>
    </r>
    <phoneticPr fontId="1" type="noConversion"/>
  </si>
  <si>
    <t>Adolfo Ascencio</t>
    <phoneticPr fontId="1" type="noConversion"/>
  </si>
  <si>
    <t>113-1527695-1309838</t>
  </si>
  <si>
    <t>Curtain Charka</t>
    <phoneticPr fontId="1" type="noConversion"/>
  </si>
  <si>
    <t>Nancy Vega</t>
  </si>
  <si>
    <t>nave_1014</t>
  </si>
  <si>
    <t>navemy_04@hotmail.com</t>
  </si>
  <si>
    <t>+1 831-809-9761</t>
  </si>
  <si>
    <t xml:space="preserve">No </t>
    <phoneticPr fontId="1" type="noConversion"/>
  </si>
  <si>
    <t xml:space="preserve"> </t>
    <phoneticPr fontId="1" type="noConversion"/>
  </si>
  <si>
    <t>Curtain Square Rings</t>
    <phoneticPr fontId="1" type="noConversion"/>
  </si>
  <si>
    <t>NOBLE DAVID POUNCEY</t>
  </si>
  <si>
    <t>pounceydot</t>
  </si>
  <si>
    <t>Curtain Wooden Door</t>
    <phoneticPr fontId="1" type="noConversion"/>
  </si>
  <si>
    <t>mik_pinel</t>
  </si>
  <si>
    <t>Mike Pinelli</t>
  </si>
  <si>
    <t>lakeviewmike@yahoo.com</t>
  </si>
  <si>
    <t>+1 716-982-6079</t>
  </si>
  <si>
    <t>NY</t>
    <phoneticPr fontId="1" type="noConversion"/>
  </si>
  <si>
    <t>Intex Maint Kit</t>
    <phoneticPr fontId="1" type="noConversion"/>
  </si>
  <si>
    <t>CH Services</t>
  </si>
  <si>
    <t>clint123456789dog</t>
  </si>
  <si>
    <t>clint3765@yahoo.com</t>
  </si>
  <si>
    <t>+1 361-232-3232</t>
  </si>
  <si>
    <t>TX</t>
    <phoneticPr fontId="1" type="noConversion"/>
  </si>
  <si>
    <t>elmer9944</t>
  </si>
  <si>
    <t>Todd Leveck</t>
  </si>
  <si>
    <t>todd.leveck@gmail.com</t>
  </si>
  <si>
    <t>+1 951-897-4796</t>
  </si>
  <si>
    <t>CA</t>
  </si>
  <si>
    <t>113-3038235-0137041</t>
  </si>
  <si>
    <t>22/10 -02:05</t>
    <phoneticPr fontId="1" type="noConversion"/>
  </si>
  <si>
    <t>113-0225786-8196219</t>
  </si>
  <si>
    <t>Karla Gonzalez124</t>
  </si>
  <si>
    <t>danahrivadeneira</t>
  </si>
  <si>
    <t>karlag.atelier@gmail.com</t>
  </si>
  <si>
    <t>FL</t>
    <phoneticPr fontId="1" type="noConversion"/>
  </si>
  <si>
    <t>113-3881133-1849847</t>
  </si>
  <si>
    <t>23/10 -10:10</t>
    <phoneticPr fontId="1" type="noConversion"/>
  </si>
  <si>
    <t>113-2428517-2333810</t>
  </si>
  <si>
    <t>pounceydot@sbcglobal.net</t>
  </si>
  <si>
    <t>+1 608-772-2547</t>
  </si>
  <si>
    <t>WI</t>
    <phoneticPr fontId="1" type="noConversion"/>
  </si>
  <si>
    <t>No Oct 21 22</t>
    <phoneticPr fontId="1" type="noConversion"/>
  </si>
  <si>
    <t>Curtain Bamboo Stalk</t>
    <phoneticPr fontId="1" type="noConversion"/>
  </si>
  <si>
    <t>Charyl Scott</t>
  </si>
  <si>
    <t>chac0820_wmkig8e7ph</t>
  </si>
  <si>
    <t>No Oct 21 25</t>
    <phoneticPr fontId="1" type="noConversion"/>
  </si>
  <si>
    <t>Steven R Moore</t>
  </si>
  <si>
    <t>srmoore007</t>
  </si>
  <si>
    <t>srmoore@peoplepc.com</t>
  </si>
  <si>
    <t>+1 409-223-1857</t>
  </si>
  <si>
    <t>GC</t>
    <phoneticPr fontId="1" type="noConversion"/>
  </si>
  <si>
    <t>113-3328716-8286642</t>
  </si>
  <si>
    <t>Mark E Southwick</t>
  </si>
  <si>
    <t>bohemian_cowgirl</t>
  </si>
  <si>
    <t>Jim Sourdiff</t>
  </si>
  <si>
    <t>dmks41618</t>
  </si>
  <si>
    <t>113-7933270-3777021</t>
  </si>
  <si>
    <t>msouthwick529@yahoo.com</t>
  </si>
  <si>
    <t>+1 479-234-7735</t>
  </si>
  <si>
    <t>AR</t>
    <phoneticPr fontId="1" type="noConversion"/>
  </si>
  <si>
    <t>113-3572677-3813055</t>
  </si>
  <si>
    <t>AZ Netbook Bag</t>
    <phoneticPr fontId="1" type="noConversion"/>
  </si>
  <si>
    <t>Ronald Franchi</t>
  </si>
  <si>
    <t>ronf9290</t>
  </si>
  <si>
    <t>113-1564962-8137852</t>
  </si>
  <si>
    <t>or</t>
    <phoneticPr fontId="1" type="noConversion"/>
  </si>
  <si>
    <t>italianhwy@gmail.com</t>
  </si>
  <si>
    <t>+1 541-299-2061</t>
  </si>
  <si>
    <t>April Truitt</t>
  </si>
  <si>
    <t>apewoman40356</t>
  </si>
  <si>
    <t>113-9393473-4890653</t>
  </si>
  <si>
    <t>kyprimate@mac.com</t>
  </si>
  <si>
    <t>+1 859-221-2227</t>
  </si>
  <si>
    <t>TN</t>
    <phoneticPr fontId="1" type="noConversion"/>
  </si>
  <si>
    <t>Curtain Fortune</t>
    <phoneticPr fontId="1" type="noConversion"/>
  </si>
  <si>
    <t>Intex Maint Kit</t>
    <phoneticPr fontId="1" type="noConversion"/>
  </si>
  <si>
    <t>Curtain Mountain</t>
    <phoneticPr fontId="1" type="noConversion"/>
  </si>
  <si>
    <t>Intex Hose Adaptor x2</t>
    <phoneticPr fontId="1" type="noConversion"/>
  </si>
  <si>
    <t>Intex 10127</t>
    <phoneticPr fontId="1" type="noConversion"/>
  </si>
  <si>
    <t>Ariel Suarez</t>
  </si>
  <si>
    <t>Give me -ve</t>
    <phoneticPr fontId="1" type="noConversion"/>
  </si>
  <si>
    <t>asy2686</t>
  </si>
  <si>
    <t>arielsuarezyanes@yahoo.es</t>
  </si>
  <si>
    <t>+1 786-419-3809</t>
  </si>
  <si>
    <t>FL</t>
    <phoneticPr fontId="1" type="noConversion"/>
  </si>
  <si>
    <t>GC</t>
    <phoneticPr fontId="1" type="noConversion"/>
  </si>
  <si>
    <t>113-8097364-2905829</t>
  </si>
  <si>
    <t>tracey moloney</t>
  </si>
  <si>
    <t>143bumble</t>
  </si>
  <si>
    <t>traceyamoloney@hotmail.com</t>
  </si>
  <si>
    <t>+1 949-244-7494</t>
  </si>
  <si>
    <t>CA</t>
    <phoneticPr fontId="1" type="noConversion"/>
  </si>
  <si>
    <t xml:space="preserve"> </t>
    <phoneticPr fontId="1" type="noConversion"/>
  </si>
  <si>
    <t>07-12 NO</t>
    <phoneticPr fontId="1" type="noConversion"/>
  </si>
  <si>
    <t>Plano 1819</t>
    <phoneticPr fontId="1" type="noConversion"/>
  </si>
  <si>
    <t>Fred Roller</t>
  </si>
  <si>
    <t>frerf-m9sh88qqgg</t>
  </si>
  <si>
    <t>fred.roller@tdstelecom.com</t>
  </si>
  <si>
    <t>+1 405-417-5176</t>
  </si>
  <si>
    <t>OK</t>
    <phoneticPr fontId="1" type="noConversion"/>
  </si>
  <si>
    <t>113-1369172-1909847</t>
  </si>
  <si>
    <t>Curtain - Square Ring</t>
    <phoneticPr fontId="1" type="noConversion"/>
  </si>
  <si>
    <t>Curtain - Café</t>
    <phoneticPr fontId="1" type="noConversion"/>
  </si>
  <si>
    <t>113-8858263-6021058</t>
  </si>
  <si>
    <t>Jacob Greene</t>
  </si>
  <si>
    <t>ariella.mirvis@gmail.com</t>
  </si>
  <si>
    <t>+1 718-413-6151</t>
  </si>
  <si>
    <t>OH</t>
    <phoneticPr fontId="1" type="noConversion"/>
  </si>
  <si>
    <t>soototallyarii</t>
  </si>
  <si>
    <t>Joanna Milashoski</t>
  </si>
  <si>
    <t>4girls1hub</t>
  </si>
  <si>
    <t>tojomila@yahoo.com</t>
  </si>
  <si>
    <t>+1 818-848-7066</t>
  </si>
  <si>
    <t>IL</t>
    <phoneticPr fontId="1" type="noConversion"/>
  </si>
  <si>
    <t>14-16</t>
    <phoneticPr fontId="1" type="noConversion"/>
  </si>
  <si>
    <t>Michael Waine</t>
  </si>
  <si>
    <t>cv.enterprise.16@gmail.com</t>
  </si>
  <si>
    <t>+1 707-413-7785</t>
  </si>
  <si>
    <t>KY</t>
    <phoneticPr fontId="1" type="noConversion"/>
  </si>
  <si>
    <t xml:space="preserve"> </t>
    <phoneticPr fontId="1" type="noConversion"/>
  </si>
  <si>
    <t>rhudso14@yahoo.com</t>
  </si>
  <si>
    <t>+1 404-518-4290</t>
  </si>
  <si>
    <t>Rhonda Tilson</t>
  </si>
  <si>
    <t>rhondtilso-0</t>
  </si>
  <si>
    <t>Curtain - Café</t>
    <phoneticPr fontId="1" type="noConversion"/>
  </si>
  <si>
    <t>Thanh Le</t>
  </si>
  <si>
    <t>avietfriend</t>
  </si>
  <si>
    <t>113-3164224-3281832</t>
  </si>
  <si>
    <t>azn_viet_friend@yahoo.com</t>
  </si>
  <si>
    <t>+1 970-779-5665</t>
  </si>
  <si>
    <t>CO</t>
  </si>
  <si>
    <t>GC</t>
    <phoneticPr fontId="1" type="noConversion"/>
  </si>
  <si>
    <t>bthfshr@yahoo.com</t>
  </si>
  <si>
    <t>+1 985-966-3440</t>
  </si>
  <si>
    <t>113-2497934-2615419</t>
  </si>
  <si>
    <t>+1 937-594-3063</t>
  </si>
  <si>
    <t>OH</t>
    <phoneticPr fontId="1" type="noConversion"/>
  </si>
  <si>
    <t>Cindy King</t>
  </si>
  <si>
    <t>100 pc charging Port USB</t>
    <phoneticPr fontId="1" type="noConversion"/>
  </si>
  <si>
    <t>pc_tuner_inc</t>
  </si>
  <si>
    <t>SENG @ XTREME PC</t>
  </si>
  <si>
    <t>ducelog3@gmail.com</t>
  </si>
  <si>
    <t>+1 559-325-4448</t>
  </si>
  <si>
    <t>CA</t>
    <phoneticPr fontId="1" type="noConversion"/>
  </si>
  <si>
    <t>SH</t>
    <phoneticPr fontId="1" type="noConversion"/>
  </si>
  <si>
    <t>Curtain Wooden Door</t>
    <phoneticPr fontId="1" type="noConversion"/>
  </si>
  <si>
    <t>wilarbear2014</t>
  </si>
  <si>
    <t>Joe and Zhifang Denor</t>
  </si>
  <si>
    <t>lwensauer53@gmail.com</t>
  </si>
  <si>
    <t>WA</t>
    <phoneticPr fontId="1" type="noConversion"/>
  </si>
  <si>
    <t>+1 920-254-1732</t>
  </si>
  <si>
    <t>113-2512423-1609055</t>
  </si>
  <si>
    <t>GC</t>
    <phoneticPr fontId="1" type="noConversion"/>
  </si>
  <si>
    <t>Whitmor Drying Rack</t>
    <phoneticPr fontId="1" type="noConversion"/>
  </si>
  <si>
    <t>Rozalyn Pama</t>
  </si>
  <si>
    <t>roz_pama</t>
  </si>
  <si>
    <t>rozpama@gmail.com</t>
  </si>
  <si>
    <t>+1 671-688-9361</t>
  </si>
  <si>
    <t>GU</t>
    <phoneticPr fontId="1" type="noConversion"/>
  </si>
  <si>
    <t>Betty Bennett</t>
  </si>
  <si>
    <t>betty0525</t>
  </si>
  <si>
    <t>bben525@gmail.com</t>
  </si>
  <si>
    <t>+1 316-641-1041</t>
  </si>
  <si>
    <t>KS</t>
    <phoneticPr fontId="1" type="noConversion"/>
  </si>
  <si>
    <t>santos cruz</t>
  </si>
  <si>
    <t>enano1101</t>
  </si>
  <si>
    <t xml:space="preserve"> </t>
    <phoneticPr fontId="1" type="noConversion"/>
  </si>
  <si>
    <t>AE</t>
    <phoneticPr fontId="1" type="noConversion"/>
  </si>
  <si>
    <t>santos19_valdez64_@hotmail.com</t>
  </si>
  <si>
    <t>+1 408-217-4554</t>
  </si>
  <si>
    <t>CA</t>
    <phoneticPr fontId="1" type="noConversion"/>
  </si>
  <si>
    <t>8007655138547940</t>
    <phoneticPr fontId="1" type="noConversion"/>
  </si>
  <si>
    <t>8007555455357949</t>
    <phoneticPr fontId="1" type="noConversion"/>
  </si>
  <si>
    <t xml:space="preserve">8007670804177949 </t>
    <phoneticPr fontId="1" type="noConversion"/>
  </si>
  <si>
    <t>Juan Manuel Adamez Rosario (LP-50-01790)</t>
  </si>
  <si>
    <t>juanadamez</t>
  </si>
  <si>
    <t>carlos.adamez@gmail.com</t>
  </si>
  <si>
    <t>+1 856-974-1940</t>
  </si>
  <si>
    <t>FL</t>
    <phoneticPr fontId="1" type="noConversion"/>
  </si>
  <si>
    <t>100 pc Tires Studs + Sleeve</t>
    <phoneticPr fontId="1" type="noConversion"/>
  </si>
  <si>
    <t>LO601747572CN</t>
  </si>
  <si>
    <t>Alexander Sverstad</t>
  </si>
  <si>
    <t>svers-2015</t>
  </si>
  <si>
    <t>alexsvers@gmail.com</t>
  </si>
  <si>
    <t>+47 994 61 682</t>
  </si>
  <si>
    <t>Norway</t>
    <phoneticPr fontId="1" type="noConversion"/>
  </si>
  <si>
    <t>8007575104357940</t>
    <phoneticPr fontId="1" type="noConversion"/>
  </si>
  <si>
    <t>LN837415351CN</t>
  </si>
  <si>
    <t>il_ex@outlook.com</t>
  </si>
  <si>
    <t>+1 450-881-2858</t>
  </si>
  <si>
    <t>Canada</t>
    <phoneticPr fontId="1" type="noConversion"/>
  </si>
  <si>
    <t xml:space="preserve">LO563114626CN </t>
  </si>
  <si>
    <t>8007035379977940</t>
    <phoneticPr fontId="1" type="noConversion"/>
  </si>
  <si>
    <t>Alexandre Gamelin</t>
  </si>
  <si>
    <t>gamelalexa</t>
  </si>
  <si>
    <t>TRUE cork holder - Cat</t>
    <phoneticPr fontId="1" type="noConversion"/>
  </si>
  <si>
    <t>TRUE Cork Holder Flamingo</t>
    <phoneticPr fontId="1" type="noConversion"/>
  </si>
  <si>
    <t>Juli Dardar</t>
  </si>
  <si>
    <t>jdardar</t>
  </si>
  <si>
    <t>jmbdardar@yahoo.com</t>
  </si>
  <si>
    <t>+1 985-688-1402</t>
  </si>
  <si>
    <t>LA</t>
    <phoneticPr fontId="1" type="noConversion"/>
  </si>
  <si>
    <t xml:space="preserve">113-7728611-3435436 </t>
  </si>
  <si>
    <t>Patrick Murray</t>
  </si>
  <si>
    <t>mur181</t>
  </si>
  <si>
    <t>113-9690881-7549028</t>
  </si>
  <si>
    <t>asap2pmurray@aol.com</t>
  </si>
  <si>
    <t>+1 301-262-2075</t>
  </si>
  <si>
    <t>MD</t>
    <phoneticPr fontId="1" type="noConversion"/>
  </si>
  <si>
    <t>113-7504784-9088219</t>
  </si>
  <si>
    <t>David Boyd</t>
  </si>
  <si>
    <t>dboy4094</t>
  </si>
  <si>
    <t>boyd.david7@gmail.com</t>
  </si>
  <si>
    <t>+1 918-261-6967</t>
  </si>
  <si>
    <t>OK</t>
  </si>
  <si>
    <t>LN837422176CN</t>
  </si>
  <si>
    <t>allen lombardo</t>
  </si>
  <si>
    <t>alombardo55</t>
  </si>
  <si>
    <t>113-3247561-9205062</t>
  </si>
  <si>
    <t>alombardo@email.com</t>
  </si>
  <si>
    <t>+1 203-994-8070</t>
  </si>
  <si>
    <t>CT</t>
    <phoneticPr fontId="1" type="noConversion"/>
  </si>
  <si>
    <t>Kjell Kolbu</t>
  </si>
  <si>
    <t>kj-kolb@online.no</t>
  </si>
  <si>
    <t>+47 909 56 673</t>
  </si>
  <si>
    <t>Mind Reader - Barrel Cork H</t>
    <phoneticPr fontId="1" type="noConversion"/>
  </si>
  <si>
    <t>Nicole Smith</t>
  </si>
  <si>
    <t>littlemissnicole</t>
  </si>
  <si>
    <t>113-1704641-4433804</t>
  </si>
  <si>
    <t>8007783134617940</t>
    <phoneticPr fontId="1" type="noConversion"/>
  </si>
  <si>
    <t>niicolemsmiith@gmail.com</t>
  </si>
  <si>
    <t>+1 440-858-5506</t>
  </si>
  <si>
    <t>True - Boot Cork Holder</t>
    <phoneticPr fontId="1" type="noConversion"/>
  </si>
  <si>
    <t>Michael Hammer</t>
  </si>
  <si>
    <t>mchammer68</t>
  </si>
  <si>
    <t>hammerranch68@gmail.com</t>
  </si>
  <si>
    <t>+1 719-276-3338</t>
  </si>
  <si>
    <t>CO</t>
    <phoneticPr fontId="1" type="noConversion"/>
  </si>
  <si>
    <t>113-3620778-5519455</t>
  </si>
  <si>
    <t xml:space="preserve">john stinson </t>
    <phoneticPr fontId="1" type="noConversion"/>
  </si>
  <si>
    <t>samantha mcintosh</t>
    <phoneticPr fontId="1" type="noConversion"/>
  </si>
  <si>
    <t>Carolyn E. Bishop</t>
    <phoneticPr fontId="1" type="noConversion"/>
  </si>
  <si>
    <t>113-8636102-3356224</t>
  </si>
  <si>
    <t>Mandy McAllister</t>
  </si>
  <si>
    <t>11mandy05</t>
  </si>
  <si>
    <t>mandy_mcallister@yahoo.com</t>
  </si>
  <si>
    <t>+1 620-899-3650</t>
  </si>
  <si>
    <t>janepfaff12@gmail.com</t>
  </si>
  <si>
    <t>+1 253-405-2196</t>
  </si>
  <si>
    <t>113-8679012-2236260</t>
  </si>
  <si>
    <t>Intex 10127</t>
    <phoneticPr fontId="1" type="noConversion"/>
  </si>
  <si>
    <t>Jane Pfaff</t>
  </si>
  <si>
    <t>japf99</t>
  </si>
  <si>
    <t>Willy Macias</t>
  </si>
  <si>
    <t>willymo_27</t>
  </si>
  <si>
    <t>willymorox@gmail.com</t>
  </si>
  <si>
    <t>+1 312-479-7753</t>
  </si>
  <si>
    <t>IL</t>
    <phoneticPr fontId="1" type="noConversion"/>
  </si>
  <si>
    <t>Plano Tote 1719 68 Q</t>
    <phoneticPr fontId="1" type="noConversion"/>
  </si>
  <si>
    <t>jesse berry</t>
  </si>
  <si>
    <t>jb1112007</t>
  </si>
  <si>
    <t>btazmania5@sbcglobal.net</t>
  </si>
  <si>
    <t>+1 314-303-1943</t>
  </si>
  <si>
    <t>MO</t>
    <phoneticPr fontId="1" type="noConversion"/>
  </si>
  <si>
    <t>113-1401783-9541858</t>
  </si>
  <si>
    <t>True - Gobble Cork Holder</t>
    <phoneticPr fontId="1" type="noConversion"/>
  </si>
  <si>
    <t>Cody Mccranie</t>
  </si>
  <si>
    <t>cgmccranie</t>
  </si>
  <si>
    <t>codymccranie@gmail.com</t>
  </si>
  <si>
    <t>+1 912-682-1043</t>
  </si>
  <si>
    <t>GA</t>
    <phoneticPr fontId="1" type="noConversion"/>
  </si>
  <si>
    <t>113-2212197-1607432</t>
  </si>
  <si>
    <t>Finland</t>
    <phoneticPr fontId="1" type="noConversion"/>
  </si>
  <si>
    <t>Marko Kaariainen</t>
  </si>
  <si>
    <t>marko.kaariainen@gmail.com</t>
  </si>
  <si>
    <t>+358 40 6329997</t>
  </si>
  <si>
    <t xml:space="preserve">RB883782619SG </t>
  </si>
  <si>
    <t>8008128319387940</t>
    <phoneticPr fontId="1" type="noConversion"/>
  </si>
  <si>
    <t>Prime</t>
    <phoneticPr fontId="1" type="noConversion"/>
  </si>
  <si>
    <t>josh dehart</t>
  </si>
  <si>
    <t>jodeh45</t>
  </si>
  <si>
    <t>Master Lock 5408D Mini</t>
  </si>
  <si>
    <t>113-7757972-0249056</t>
  </si>
  <si>
    <t>j3dehart@gmail.com</t>
  </si>
  <si>
    <t>+1 401-345-1575</t>
  </si>
  <si>
    <t>RI</t>
    <phoneticPr fontId="1" type="noConversion"/>
  </si>
  <si>
    <t>Matthew Vis</t>
  </si>
  <si>
    <t>matthevi-0</t>
  </si>
  <si>
    <t>mattvis50@gmail.com</t>
  </si>
  <si>
    <t>+1 605-929-2574</t>
  </si>
  <si>
    <t>SD</t>
    <phoneticPr fontId="1" type="noConversion"/>
  </si>
  <si>
    <t>20models 100pcs - Blue</t>
    <phoneticPr fontId="1" type="noConversion"/>
  </si>
  <si>
    <t>Efrain Guerrero</t>
  </si>
  <si>
    <t>guaymas83@gmail.com</t>
  </si>
  <si>
    <t>+1 602-459-1372</t>
  </si>
  <si>
    <t>AZ</t>
    <phoneticPr fontId="1" type="noConversion"/>
  </si>
  <si>
    <t xml:space="preserve"> </t>
    <phoneticPr fontId="1" type="noConversion"/>
  </si>
  <si>
    <t>8008141949467940</t>
    <phoneticPr fontId="1" type="noConversion"/>
  </si>
  <si>
    <t>Kyösti Karila</t>
  </si>
  <si>
    <t>Magic Wands - Lucius</t>
    <phoneticPr fontId="1" type="noConversion"/>
  </si>
  <si>
    <t>kyosti.karila@gmail.com</t>
  </si>
  <si>
    <t>+358 50 5061007</t>
  </si>
  <si>
    <t>Finland</t>
    <phoneticPr fontId="1" type="noConversion"/>
  </si>
  <si>
    <t>8008251351407949</t>
    <phoneticPr fontId="1" type="noConversion"/>
  </si>
  <si>
    <t xml:space="preserve">mary fisher </t>
    <phoneticPr fontId="1" type="noConversion"/>
  </si>
  <si>
    <r>
      <t xml:space="preserve">mfis8865 --- </t>
    </r>
    <r>
      <rPr>
        <sz val="10"/>
        <color rgb="FFFF0000"/>
        <rFont val="Arial Unicode MS"/>
        <family val="2"/>
        <charset val="136"/>
      </rPr>
      <t>Return</t>
    </r>
    <phoneticPr fontId="1" type="noConversion"/>
  </si>
  <si>
    <t>2019-12-16</t>
    <phoneticPr fontId="1" type="noConversion"/>
  </si>
  <si>
    <t>2019-12-21</t>
    <phoneticPr fontId="1" type="noConversion"/>
  </si>
  <si>
    <t>LO656530310CN</t>
  </si>
  <si>
    <t>US</t>
    <phoneticPr fontId="1" type="noConversion"/>
  </si>
  <si>
    <t>2019-12-23</t>
    <phoneticPr fontId="1" type="noConversion"/>
  </si>
  <si>
    <t>William E Shackelford</t>
  </si>
  <si>
    <t>sportsnut1951</t>
  </si>
  <si>
    <t>113-4795089-4021815</t>
    <phoneticPr fontId="1" type="noConversion"/>
  </si>
  <si>
    <t>wshack1951@aol.com</t>
  </si>
  <si>
    <t>+1 703-830-6590</t>
  </si>
  <si>
    <t>VA</t>
    <phoneticPr fontId="1" type="noConversion"/>
  </si>
  <si>
    <t>2019-12-26</t>
    <phoneticPr fontId="1" type="noConversion"/>
  </si>
  <si>
    <t>Magic Wands - Hermione</t>
    <phoneticPr fontId="1" type="noConversion"/>
  </si>
  <si>
    <t>Toni Jantunen</t>
  </si>
  <si>
    <t>toni.jantunen@gmail.com</t>
  </si>
  <si>
    <t>+358 40 5715921</t>
  </si>
  <si>
    <t>8008460298567949</t>
    <phoneticPr fontId="1" type="noConversion"/>
  </si>
  <si>
    <t>2019-12-28</t>
    <phoneticPr fontId="1" type="noConversion"/>
  </si>
  <si>
    <t>LO625463717CN</t>
  </si>
  <si>
    <t>2019-12-24</t>
    <phoneticPr fontId="1" type="noConversion"/>
  </si>
  <si>
    <t>2019-12-19</t>
    <phoneticPr fontId="1" type="noConversion"/>
  </si>
  <si>
    <t>AE</t>
    <phoneticPr fontId="1" type="noConversion"/>
  </si>
  <si>
    <t>Cancelled</t>
    <phoneticPr fontId="1" type="noConversion"/>
  </si>
  <si>
    <t>Curtain - Square Rings</t>
    <phoneticPr fontId="1" type="noConversion"/>
  </si>
  <si>
    <t>113-6613028-4849004</t>
  </si>
  <si>
    <t>cnewsomm@aol.com</t>
  </si>
  <si>
    <t>+1 414-628-8802</t>
  </si>
  <si>
    <t>WI</t>
    <phoneticPr fontId="1" type="noConversion"/>
  </si>
  <si>
    <t>Colleen Newsom</t>
  </si>
  <si>
    <t>colleenn2653</t>
  </si>
  <si>
    <t>Cancelled</t>
    <phoneticPr fontId="1" type="noConversion"/>
  </si>
  <si>
    <t>LN837536607CN</t>
  </si>
  <si>
    <t>JOHN KAGELIDIS</t>
  </si>
  <si>
    <t>22:20</t>
    <phoneticPr fontId="1" type="noConversion"/>
  </si>
  <si>
    <t>johnkag77@yahoo.gr</t>
  </si>
  <si>
    <t>+30 2331-070899</t>
  </si>
  <si>
    <t>Greece</t>
    <phoneticPr fontId="1" type="noConversion"/>
  </si>
  <si>
    <t xml:space="preserve">8008649079807949 </t>
    <phoneticPr fontId="1" type="noConversion"/>
  </si>
  <si>
    <t>LN445973594CN</t>
  </si>
  <si>
    <t xml:space="preserve"> </t>
    <phoneticPr fontId="1" type="noConversion"/>
  </si>
  <si>
    <t>kara nguyen</t>
  </si>
  <si>
    <t>siti-44</t>
  </si>
  <si>
    <t>2020-1-3</t>
    <phoneticPr fontId="1" type="noConversion"/>
  </si>
  <si>
    <t>True - Cat Cork Holder</t>
    <phoneticPr fontId="1" type="noConversion"/>
  </si>
  <si>
    <t>pam martin</t>
  </si>
  <si>
    <t>pam575</t>
  </si>
  <si>
    <t>stellaluna621@sbcglobal.net</t>
  </si>
  <si>
    <t>+1 707-363-2816</t>
  </si>
  <si>
    <t>113-5663845-7745032</t>
  </si>
  <si>
    <t>2020-1-7</t>
    <phoneticPr fontId="1" type="noConversion"/>
  </si>
  <si>
    <t>Curtain - Bookcase</t>
    <phoneticPr fontId="1" type="noConversion"/>
  </si>
  <si>
    <t>Olga Zarafti</t>
  </si>
  <si>
    <t>michaelk628@gmail.com</t>
  </si>
  <si>
    <t>30+ 33118642</t>
  </si>
  <si>
    <t>Greece</t>
    <phoneticPr fontId="1" type="noConversion"/>
  </si>
  <si>
    <t>Prime</t>
    <phoneticPr fontId="1" type="noConversion"/>
  </si>
  <si>
    <t>113-1424769-9355417</t>
  </si>
  <si>
    <t>john lessard</t>
  </si>
  <si>
    <t>johnnylizard</t>
  </si>
  <si>
    <t>lizard5@metrocast.net</t>
  </si>
  <si>
    <t>+1 207-477-2633</t>
  </si>
  <si>
    <t>8009218380837940</t>
    <phoneticPr fontId="1" type="noConversion"/>
  </si>
  <si>
    <t>Gecko Wall Plate - 6 gp</t>
    <phoneticPr fontId="1" type="noConversion"/>
  </si>
  <si>
    <t>charlene hamilton</t>
  </si>
  <si>
    <t>bash-fullacres</t>
  </si>
  <si>
    <t>bashfullacres@frontier.com</t>
  </si>
  <si>
    <t>+1 828-321-9340</t>
  </si>
  <si>
    <t>113-0316998-2409853</t>
  </si>
  <si>
    <t>8009467012217949</t>
    <phoneticPr fontId="1" type="noConversion"/>
  </si>
  <si>
    <t>dkouremetis@gmail.com</t>
  </si>
  <si>
    <t>+30 694-810-5550</t>
  </si>
  <si>
    <t>Greece</t>
    <phoneticPr fontId="1" type="noConversion"/>
  </si>
  <si>
    <t>KOUREMETIS DIMOSTHENIS</t>
  </si>
  <si>
    <t>Jaime Huertas</t>
  </si>
  <si>
    <t>jahuertas</t>
  </si>
  <si>
    <t>jahuertas2000@yahoo.com</t>
  </si>
  <si>
    <t>+1 908-531-2952</t>
  </si>
  <si>
    <t>8009497493537949</t>
    <phoneticPr fontId="1" type="noConversion"/>
  </si>
  <si>
    <t>Oscar Olivarez</t>
  </si>
  <si>
    <t>oscosc.slitr</t>
  </si>
  <si>
    <t>Heaven Brown</t>
  </si>
  <si>
    <t>heabro.rap9ow3</t>
  </si>
  <si>
    <t>Brynn King</t>
  </si>
  <si>
    <t>brynkin-0</t>
  </si>
  <si>
    <t>charvette howard</t>
  </si>
  <si>
    <t>cmh391</t>
  </si>
  <si>
    <t>cmh1238@hotmail.com</t>
  </si>
  <si>
    <t>+1 847-401-1203</t>
  </si>
  <si>
    <t>Curtain - Mona Lisa</t>
    <phoneticPr fontId="1" type="noConversion"/>
  </si>
  <si>
    <t>makekake -- Add chg</t>
    <phoneticPr fontId="1" type="noConversion"/>
  </si>
  <si>
    <t>8009637578367949</t>
    <phoneticPr fontId="1" type="noConversion"/>
  </si>
  <si>
    <t>Prime</t>
    <phoneticPr fontId="1" type="noConversion"/>
  </si>
  <si>
    <t>keelburton@gmail.com</t>
  </si>
  <si>
    <t>+1 876-319-7317</t>
  </si>
  <si>
    <t>Keil Burton</t>
  </si>
  <si>
    <t>Mojca Kusnjerek</t>
  </si>
  <si>
    <t>8009549060497949</t>
    <phoneticPr fontId="1" type="noConversion"/>
  </si>
  <si>
    <t>Prime</t>
    <phoneticPr fontId="1" type="noConversion"/>
  </si>
  <si>
    <t>mojca.kusnjerek@gmail.com</t>
  </si>
  <si>
    <t>+386 41-000-000</t>
  </si>
  <si>
    <t>Slovenia</t>
  </si>
  <si>
    <t>Joseph Maldonado</t>
  </si>
  <si>
    <t>justenoughkitsch</t>
  </si>
  <si>
    <t>simplyheaven420@gmail.com</t>
  </si>
  <si>
    <t>+1 202-641-2890</t>
  </si>
  <si>
    <t>113-4929562-4101034</t>
    <phoneticPr fontId="1" type="noConversion"/>
  </si>
  <si>
    <t>JanineMETRICIAN</t>
  </si>
  <si>
    <t>janinesm11</t>
  </si>
  <si>
    <t>jaizaledhead@gmail.com</t>
  </si>
  <si>
    <t>+1 253-359-5127</t>
  </si>
  <si>
    <t>Curtain - Louver</t>
    <phoneticPr fontId="1" type="noConversion"/>
  </si>
  <si>
    <t>YALISSA RIVERA BERRIOS</t>
  </si>
  <si>
    <t>yrb78pr</t>
  </si>
  <si>
    <t>yali-love-lee@hotmail.com</t>
  </si>
  <si>
    <t>+1 787-932-5930</t>
  </si>
  <si>
    <t>113-4742582-1625810</t>
    <phoneticPr fontId="1" type="noConversion"/>
  </si>
  <si>
    <t>bkingand5@gmail.com</t>
  </si>
  <si>
    <t>+1 419-722-4111</t>
  </si>
  <si>
    <t xml:space="preserve"> </t>
    <phoneticPr fontId="1" type="noConversion"/>
  </si>
  <si>
    <t>2020-1-16</t>
    <phoneticPr fontId="1" type="noConversion"/>
  </si>
  <si>
    <t>SP103371670FI</t>
  </si>
  <si>
    <t>113-1886628-4113055</t>
    <phoneticPr fontId="1" type="noConversion"/>
  </si>
  <si>
    <t>sheri ralston</t>
  </si>
  <si>
    <t>shral7</t>
  </si>
  <si>
    <t>sralstonlux@aol.com</t>
  </si>
  <si>
    <t>+1 503-780-4509</t>
  </si>
  <si>
    <t xml:space="preserve"> </t>
    <phoneticPr fontId="1" type="noConversion"/>
  </si>
  <si>
    <t>113-5597204-3160216</t>
    <phoneticPr fontId="1" type="noConversion"/>
  </si>
  <si>
    <t>113-9619224-5523417</t>
    <phoneticPr fontId="1" type="noConversion"/>
  </si>
  <si>
    <t>cstaff99@yahoo.com</t>
  </si>
  <si>
    <t>+1 219-331-6111</t>
  </si>
  <si>
    <t>craig Stafford</t>
  </si>
  <si>
    <t>cstaff99219</t>
  </si>
  <si>
    <t>jgraham357@gmail.com</t>
  </si>
  <si>
    <t>+1 217-691-2160</t>
  </si>
  <si>
    <t>Jim Graham</t>
  </si>
  <si>
    <t>jimsells21</t>
  </si>
  <si>
    <t>Metal Plate - Gecko 6</t>
    <phoneticPr fontId="1" type="noConversion"/>
  </si>
  <si>
    <t>Steven Moniz</t>
  </si>
  <si>
    <t>kidmon9</t>
  </si>
  <si>
    <t>Curtain - Mona Lisa</t>
    <phoneticPr fontId="1" type="noConversion"/>
  </si>
  <si>
    <t>113-2783469-0703406</t>
    <phoneticPr fontId="1" type="noConversion"/>
  </si>
  <si>
    <t>Steve A Wilson</t>
  </si>
  <si>
    <t>1rebel65</t>
  </si>
  <si>
    <t>sleeplessinminden@yahoo.com</t>
  </si>
  <si>
    <t>+1 318-518-0265</t>
  </si>
  <si>
    <t>echoes414@yahoo.com</t>
  </si>
  <si>
    <t>+1 832-784-4691</t>
  </si>
  <si>
    <t>Curtain - Sunset</t>
    <phoneticPr fontId="1" type="noConversion"/>
  </si>
  <si>
    <t>Sophie Duncan</t>
  </si>
  <si>
    <t>dogempire</t>
  </si>
  <si>
    <t xml:space="preserve"> </t>
    <phoneticPr fontId="1" type="noConversion"/>
  </si>
  <si>
    <t>skd819@gmail.com</t>
  </si>
  <si>
    <t>+1 310-850-8715</t>
  </si>
  <si>
    <t>dana angiolillo</t>
  </si>
  <si>
    <t>2017dana</t>
  </si>
  <si>
    <t xml:space="preserve">Home-X Cork Holder Cow </t>
    <phoneticPr fontId="1" type="noConversion"/>
  </si>
  <si>
    <t>113-5958358-4302666</t>
    <phoneticPr fontId="1" type="noConversion"/>
  </si>
  <si>
    <t>kjell6376 --- del</t>
    <phoneticPr fontId="1" type="noConversion"/>
  </si>
  <si>
    <t>113-6808241-0883406</t>
  </si>
  <si>
    <t>Curtain - Window View</t>
    <phoneticPr fontId="1" type="noConversion"/>
  </si>
  <si>
    <t>Curtain - Bookcase</t>
    <phoneticPr fontId="1" type="noConversion"/>
  </si>
  <si>
    <t>True - Boot Cork Holder</t>
    <phoneticPr fontId="1" type="noConversion"/>
  </si>
  <si>
    <t>Christopher Cramer</t>
  </si>
  <si>
    <t>king!187</t>
  </si>
  <si>
    <t>113-4990280-9768228</t>
    <phoneticPr fontId="1" type="noConversion"/>
  </si>
  <si>
    <t>cramer1construction@gmail.com</t>
  </si>
  <si>
    <t>+1 661-496-6599</t>
  </si>
  <si>
    <t>113-9939726-8541023</t>
    <phoneticPr fontId="1" type="noConversion"/>
  </si>
  <si>
    <t>lwegryn@roadrunner.com</t>
  </si>
  <si>
    <t>+1 716-824-1693</t>
  </si>
  <si>
    <t>Larry Wegryn</t>
  </si>
  <si>
    <t>law5252</t>
  </si>
  <si>
    <t>113-4572359-1029050</t>
    <phoneticPr fontId="1" type="noConversion"/>
  </si>
  <si>
    <t>R</t>
    <phoneticPr fontId="1" type="noConversion"/>
  </si>
  <si>
    <t>?</t>
    <phoneticPr fontId="1" type="noConversion"/>
  </si>
  <si>
    <t>113-2846933-3003435</t>
    <phoneticPr fontId="1" type="noConversion"/>
  </si>
  <si>
    <t>Video Cam Ball Head</t>
    <phoneticPr fontId="1" type="noConversion"/>
  </si>
  <si>
    <t>Curtain - EYE</t>
    <phoneticPr fontId="1" type="noConversion"/>
  </si>
  <si>
    <t>Christopher Little</t>
  </si>
  <si>
    <t>cccchrissss1111@gmail.com</t>
  </si>
  <si>
    <t>+1 917-547-2466</t>
  </si>
  <si>
    <t>Stephanie Joyce</t>
  </si>
  <si>
    <t>113-8094335-5439433</t>
  </si>
  <si>
    <t>karategirl387@aol.com</t>
  </si>
  <si>
    <t>+1 603-892-8384</t>
  </si>
  <si>
    <t>2020-2-07</t>
    <phoneticPr fontId="1" type="noConversion"/>
  </si>
  <si>
    <t>2020-2-12</t>
    <phoneticPr fontId="1" type="noConversion"/>
  </si>
  <si>
    <t>Jamie gallo</t>
  </si>
  <si>
    <t>Curtain - Wooden Door</t>
    <phoneticPr fontId="1" type="noConversion"/>
  </si>
  <si>
    <t>Curtain - Café</t>
    <phoneticPr fontId="1" type="noConversion"/>
  </si>
  <si>
    <t>Beverly Manuelito</t>
  </si>
  <si>
    <t>Dannie Glover</t>
  </si>
  <si>
    <t>113-3003914-4791406</t>
    <phoneticPr fontId="1" type="noConversion"/>
  </si>
  <si>
    <t>gpctracfone@gmail.com</t>
  </si>
  <si>
    <t>+1 931-607-0409</t>
  </si>
  <si>
    <t>113-0331688-4395422</t>
    <phoneticPr fontId="1" type="noConversion"/>
  </si>
  <si>
    <t>bevmanuelito@yahoo.com</t>
  </si>
  <si>
    <t>+1 505-715-3472</t>
  </si>
  <si>
    <t>kystkaril0  --- chg</t>
    <phoneticPr fontId="1" type="noConversion"/>
  </si>
  <si>
    <t>Cancelled</t>
    <phoneticPr fontId="1" type="noConversion"/>
  </si>
  <si>
    <t>Dell Sasser</t>
  </si>
  <si>
    <t>US</t>
    <phoneticPr fontId="1" type="noConversion"/>
  </si>
  <si>
    <t>2020-2-19</t>
    <phoneticPr fontId="1" type="noConversion"/>
  </si>
  <si>
    <t>2020-2-11</t>
    <phoneticPr fontId="1" type="noConversion"/>
  </si>
  <si>
    <t>Curtain - Charka</t>
    <phoneticPr fontId="1" type="noConversion"/>
  </si>
  <si>
    <t>Curtain - Café</t>
    <phoneticPr fontId="1" type="noConversion"/>
  </si>
  <si>
    <t>25 Models 50pcs - Blue</t>
    <phoneticPr fontId="1" type="noConversion"/>
  </si>
  <si>
    <t>Steve Scotti</t>
  </si>
  <si>
    <t>sscotti-us</t>
  </si>
  <si>
    <t>2020-2-25</t>
    <phoneticPr fontId="1" type="noConversion"/>
  </si>
  <si>
    <t>Carnelia Thomas</t>
  </si>
  <si>
    <t>jaylon_2005</t>
  </si>
  <si>
    <t>lil_c_05_4_life@yahoo.com</t>
  </si>
  <si>
    <t>+1 662-897-6982</t>
  </si>
  <si>
    <t>Angela Burke</t>
  </si>
  <si>
    <t>larryburke90</t>
  </si>
  <si>
    <t>burkeangela24@yahoo.com</t>
  </si>
  <si>
    <t>+1 915-820-0956</t>
  </si>
  <si>
    <t>Curtain - Fortune</t>
    <phoneticPr fontId="1" type="noConversion"/>
  </si>
  <si>
    <t>Pamela Rodgers</t>
  </si>
  <si>
    <t>pamelrodge</t>
  </si>
  <si>
    <t>ppamelaam@yahoo.com</t>
  </si>
  <si>
    <t>+1 913-449-0534</t>
  </si>
  <si>
    <t>True - Boot Cork Holder</t>
    <phoneticPr fontId="1" type="noConversion"/>
  </si>
  <si>
    <t>T and E</t>
  </si>
  <si>
    <t>sweetfamilyof6</t>
  </si>
  <si>
    <t>ericapatz@yahoo.com</t>
  </si>
  <si>
    <t>+1 785-840-6755</t>
  </si>
  <si>
    <t xml:space="preserve"> </t>
    <phoneticPr fontId="1" type="noConversion"/>
  </si>
  <si>
    <t>Leann Brundige</t>
  </si>
  <si>
    <t>freelee2gcb</t>
  </si>
  <si>
    <t>113-0180820-0173079</t>
    <phoneticPr fontId="1" type="noConversion"/>
  </si>
  <si>
    <t>sophiebcm2g@gmail.com</t>
  </si>
  <si>
    <t>+1 585-384-5425</t>
  </si>
  <si>
    <t>Jermott Williams Sr</t>
  </si>
  <si>
    <t>jermott</t>
  </si>
  <si>
    <t>michelle brown</t>
  </si>
  <si>
    <t>mymichellebrown</t>
  </si>
  <si>
    <t>Gary Harper</t>
  </si>
  <si>
    <t>garharpe_65</t>
  </si>
  <si>
    <t>113-9759948-8961054</t>
    <phoneticPr fontId="1" type="noConversion"/>
  </si>
  <si>
    <t>113-3676459-9365853</t>
    <phoneticPr fontId="1" type="noConversion"/>
  </si>
  <si>
    <t>Curtain - Café</t>
    <phoneticPr fontId="1" type="noConversion"/>
  </si>
  <si>
    <t>113-1427931-9273013</t>
    <phoneticPr fontId="1" type="noConversion"/>
  </si>
  <si>
    <t>jermott6@gmail.com</t>
  </si>
  <si>
    <t>+1 860-777-7372</t>
  </si>
  <si>
    <t>113-6544612-2465861</t>
    <phoneticPr fontId="1" type="noConversion"/>
  </si>
  <si>
    <t>113-3248958-9516231</t>
    <phoneticPr fontId="1" type="noConversion"/>
  </si>
  <si>
    <t>Curtain - Octopaus</t>
    <phoneticPr fontId="1" type="noConversion"/>
  </si>
  <si>
    <t>Leona Stewart</t>
  </si>
  <si>
    <t>leeleesk</t>
  </si>
  <si>
    <t>leonarstewart@yahoo.com</t>
  </si>
  <si>
    <t>+1 925-727-7245</t>
  </si>
  <si>
    <t>113-0235912-2508223</t>
  </si>
  <si>
    <t>113-0235912-2508223</t>
    <phoneticPr fontId="1" type="noConversion"/>
  </si>
  <si>
    <t>Matilda Douglas</t>
  </si>
  <si>
    <t>mareebeata</t>
  </si>
  <si>
    <t>efrain8383 --- chg</t>
    <phoneticPr fontId="1" type="noConversion"/>
  </si>
  <si>
    <t>113-8690191-7177013</t>
  </si>
  <si>
    <t>kpkphoenix@aol.com</t>
  </si>
  <si>
    <t>425289910</t>
    <phoneticPr fontId="1" type="noConversion"/>
  </si>
  <si>
    <t>+1 954-968-4800</t>
  </si>
  <si>
    <t>carolinare-0</t>
  </si>
  <si>
    <t>clinares53@gmail.com</t>
  </si>
  <si>
    <t>+1 517-215-4165</t>
  </si>
  <si>
    <t>113-4781642-4456255</t>
  </si>
  <si>
    <t>Magic Wand - Elder</t>
    <phoneticPr fontId="1" type="noConversion"/>
  </si>
  <si>
    <t>Curtain - Color Wave</t>
    <phoneticPr fontId="1" type="noConversion"/>
  </si>
  <si>
    <t>Curtain - Bookcase</t>
    <phoneticPr fontId="1" type="noConversion"/>
  </si>
  <si>
    <t>Intex Pool Stopper</t>
    <phoneticPr fontId="1" type="noConversion"/>
  </si>
  <si>
    <t>Doreen m Cope</t>
  </si>
  <si>
    <t>copus59</t>
  </si>
  <si>
    <t>Kim Drew</t>
  </si>
  <si>
    <t>kdrewski</t>
  </si>
  <si>
    <t>kimdrewdesign@gmail.com</t>
  </si>
  <si>
    <t>+1 206-652-5378</t>
  </si>
  <si>
    <t>113-4011705-9472253</t>
  </si>
  <si>
    <t>Alec Hall</t>
  </si>
  <si>
    <t>alehal22</t>
  </si>
  <si>
    <t>Plano Tote 56 Q</t>
    <phoneticPr fontId="1" type="noConversion"/>
  </si>
  <si>
    <t>Bonnie Byer</t>
  </si>
  <si>
    <t>steelio12345</t>
  </si>
  <si>
    <t>bbyer@devereux.org</t>
  </si>
  <si>
    <t>113-7479836-2220235</t>
  </si>
  <si>
    <t>Curtain - Maria</t>
    <phoneticPr fontId="1" type="noConversion"/>
  </si>
  <si>
    <t>Ismael Aceves</t>
  </si>
  <si>
    <t>ismace-75</t>
  </si>
  <si>
    <t>acevesaceves97@gmail.com</t>
  </si>
  <si>
    <t>+1 630-800-9439</t>
  </si>
  <si>
    <t>113-6678098-5430620</t>
  </si>
  <si>
    <t>Curtain - Tie Dye</t>
    <phoneticPr fontId="1" type="noConversion"/>
  </si>
  <si>
    <t>SANDRA KNOWLTON</t>
  </si>
  <si>
    <t>sanknow_62</t>
  </si>
  <si>
    <t>113-1692227-0153055</t>
    <phoneticPr fontId="1" type="noConversion"/>
  </si>
  <si>
    <t>knowltoncampbell@yahoo.com</t>
  </si>
  <si>
    <t>+1 417-540-2020</t>
  </si>
  <si>
    <t>landon heying</t>
  </si>
  <si>
    <t>muddymoney27</t>
  </si>
  <si>
    <t>landontrueblue1@yahoo.com</t>
  </si>
  <si>
    <t>+1 340-244-3502</t>
  </si>
  <si>
    <t>Alexander Galayev</t>
  </si>
  <si>
    <t>oldplaguedoctor</t>
  </si>
  <si>
    <t>alexgalayev@gmail.com</t>
  </si>
  <si>
    <t>+1 917-415-3996</t>
  </si>
  <si>
    <t>113-7899984-3110602</t>
    <phoneticPr fontId="1" type="noConversion"/>
  </si>
  <si>
    <t>ayron rodriguez</t>
  </si>
  <si>
    <t>ronrod1981@gmail.com</t>
  </si>
  <si>
    <t>+1 239-265-3073</t>
  </si>
  <si>
    <t>US</t>
    <phoneticPr fontId="1" type="noConversion"/>
  </si>
  <si>
    <t>8009549060497949</t>
    <phoneticPr fontId="1" type="noConversion"/>
  </si>
  <si>
    <t>2020-3-7</t>
    <phoneticPr fontId="1" type="noConversion"/>
  </si>
  <si>
    <t>Michael Jennings</t>
  </si>
  <si>
    <t>wanabecharmed</t>
  </si>
  <si>
    <t>113-4893630-2397062</t>
    <phoneticPr fontId="1" type="noConversion"/>
  </si>
  <si>
    <t>mikeljns309@att.net</t>
  </si>
  <si>
    <t>+1 228-365-3263</t>
  </si>
  <si>
    <t>hailu shumeye</t>
  </si>
  <si>
    <t>CANCELLED</t>
    <phoneticPr fontId="1" type="noConversion"/>
  </si>
  <si>
    <t>A BETTER DJ and PHOTOGRAPHER</t>
  </si>
  <si>
    <t>abetterdjandphotographer</t>
  </si>
  <si>
    <t>113-2993569-8251463</t>
    <phoneticPr fontId="1" type="noConversion"/>
  </si>
  <si>
    <t>+1 321-412-3878</t>
  </si>
  <si>
    <t>113-4778009-5901817</t>
  </si>
  <si>
    <t>Patience Brickey</t>
  </si>
  <si>
    <t>mich3l3brick3y</t>
  </si>
  <si>
    <t>patiencebrickey@gmail.com</t>
  </si>
  <si>
    <t>+1 918-225-2021</t>
  </si>
  <si>
    <t>Metal Plate - Gecko 2</t>
    <phoneticPr fontId="1" type="noConversion"/>
  </si>
  <si>
    <t>James Bearden</t>
  </si>
  <si>
    <t>23jim42</t>
  </si>
  <si>
    <t>jimbearden@hotmail.com</t>
  </si>
  <si>
    <t>+1 916-638-5673</t>
  </si>
  <si>
    <t>113-2149641-5217001</t>
  </si>
  <si>
    <t>True - Dog Cork Holder</t>
    <phoneticPr fontId="1" type="noConversion"/>
  </si>
  <si>
    <t>Camille D. Gardner</t>
  </si>
  <si>
    <t>fadrosita</t>
  </si>
  <si>
    <t>camgard@aol.com</t>
  </si>
  <si>
    <t>+1 310-454-2250</t>
  </si>
  <si>
    <t>113-3634872-1059403</t>
    <phoneticPr fontId="1" type="noConversion"/>
  </si>
  <si>
    <t>Plano Tote 1819</t>
    <phoneticPr fontId="1" type="noConversion"/>
  </si>
  <si>
    <t>Kyle Morris</t>
  </si>
  <si>
    <t>ashton-4995</t>
  </si>
  <si>
    <t>ashton1998ash@gmail.com</t>
  </si>
  <si>
    <t>+1 207-991-0054</t>
  </si>
  <si>
    <t>113-7462425-2709011</t>
    <phoneticPr fontId="1" type="noConversion"/>
  </si>
  <si>
    <t>Mark Rutter</t>
  </si>
  <si>
    <t>farsci</t>
  </si>
  <si>
    <t>113-8689821-6649009</t>
  </si>
  <si>
    <t>mrutter54@twc.com</t>
  </si>
  <si>
    <t>+1 740-706-1254</t>
  </si>
  <si>
    <t>Jul-15 bought Tree</t>
    <phoneticPr fontId="1" type="noConversion"/>
  </si>
  <si>
    <t>Curtain - Charka</t>
    <phoneticPr fontId="1" type="noConversion"/>
  </si>
  <si>
    <t>Erin Corrigan</t>
  </si>
  <si>
    <t>ercorr-16</t>
  </si>
  <si>
    <t>113-7934734-4277025</t>
    <phoneticPr fontId="1" type="noConversion"/>
  </si>
  <si>
    <t>corriganerin01@gmail.com</t>
  </si>
  <si>
    <t>+1 570-886-1762</t>
  </si>
  <si>
    <t>C E LINDSEY</t>
  </si>
  <si>
    <t>elin768</t>
  </si>
  <si>
    <t>Dennis A. White</t>
  </si>
  <si>
    <t>whitefish40004</t>
  </si>
  <si>
    <t>113-9051424-3317053</t>
    <phoneticPr fontId="1" type="noConversion"/>
  </si>
  <si>
    <t>white132164@bellsouth.net</t>
  </si>
  <si>
    <t>+1 502-249-0914</t>
  </si>
  <si>
    <t>Jeanine Weiland</t>
  </si>
  <si>
    <t>jweiland222012</t>
  </si>
  <si>
    <t>113-2477416-7877025</t>
    <phoneticPr fontId="1" type="noConversion"/>
  </si>
  <si>
    <t>jweiland22@yahoo.com</t>
  </si>
  <si>
    <t>+1 845-787-6635</t>
  </si>
  <si>
    <t>Erica OBara</t>
  </si>
  <si>
    <t>ericaobara</t>
  </si>
  <si>
    <t>Whitmor Drying Rack</t>
    <phoneticPr fontId="1" type="noConversion"/>
  </si>
  <si>
    <t>erica_obara2001@yahoo.com</t>
  </si>
  <si>
    <t>+1 802-747-8937</t>
    <phoneticPr fontId="1" type="noConversion"/>
  </si>
  <si>
    <t>Camera Ball Head</t>
    <phoneticPr fontId="1" type="noConversion"/>
  </si>
  <si>
    <t>Curtain - Stairway</t>
    <phoneticPr fontId="1" type="noConversion"/>
  </si>
  <si>
    <t>Curtain - Mona Lisa</t>
    <phoneticPr fontId="1" type="noConversion"/>
  </si>
  <si>
    <t>Ellis A Nesbitt</t>
  </si>
  <si>
    <t>kingponcy</t>
  </si>
  <si>
    <t>Alex Moltzen</t>
  </si>
  <si>
    <t>jocelyngrace420</t>
  </si>
  <si>
    <t>Plano 3-Tray Tackle Box</t>
  </si>
  <si>
    <t>James Boeve</t>
  </si>
  <si>
    <t>james*hoover</t>
  </si>
  <si>
    <t>Benjamin Barros</t>
  </si>
  <si>
    <t>sskyhorse67</t>
  </si>
  <si>
    <t>Loy Huskey</t>
  </si>
  <si>
    <t>huske_lo</t>
  </si>
  <si>
    <t>113-9443967-3530648</t>
  </si>
  <si>
    <t>thecaptianone@gmail.com</t>
  </si>
  <si>
    <t>+1 616-402-1655</t>
  </si>
  <si>
    <t>lehuskey@gmail.com</t>
  </si>
  <si>
    <t>+1 360-521-7203</t>
  </si>
  <si>
    <t>113-0823498-4837003</t>
  </si>
  <si>
    <t>Josiah Cadle,Jr</t>
  </si>
  <si>
    <t>1956josiah</t>
  </si>
  <si>
    <t>j.a.cadle@comcast.net</t>
  </si>
  <si>
    <t>+1 706-414-2800</t>
  </si>
  <si>
    <t>113-2093586-3125016</t>
  </si>
  <si>
    <t>Bill Byrne</t>
  </si>
  <si>
    <t>byrnebill</t>
  </si>
  <si>
    <t>+1 561-778-9192</t>
  </si>
  <si>
    <t>byrnebill@aol.com</t>
  </si>
  <si>
    <t>113-1366325-1499423</t>
  </si>
  <si>
    <t>Nick Pazour</t>
  </si>
  <si>
    <t>nicpazou-0</t>
  </si>
  <si>
    <t>tonjantune0 -- chg</t>
    <phoneticPr fontId="1" type="noConversion"/>
  </si>
  <si>
    <t>25 Models 75pcs - Blue</t>
    <phoneticPr fontId="1" type="noConversion"/>
  </si>
  <si>
    <t>Michael Loftis</t>
  </si>
  <si>
    <t>indianafinds</t>
  </si>
  <si>
    <t>jeffrey bryant</t>
  </si>
  <si>
    <t>yuppe24</t>
  </si>
  <si>
    <t>Intex Adaptor B</t>
    <phoneticPr fontId="1" type="noConversion"/>
  </si>
  <si>
    <t>25 Models 75 pcs 5 7 Pin</t>
    <phoneticPr fontId="1" type="noConversion"/>
  </si>
  <si>
    <t>8012075982827949</t>
    <phoneticPr fontId="1" type="noConversion"/>
  </si>
  <si>
    <t>Miguel Montano</t>
  </si>
  <si>
    <t>migmon-4166</t>
  </si>
  <si>
    <t>miguelmontano2011@hotmail.com</t>
  </si>
  <si>
    <t>+1 213-509-8460</t>
  </si>
  <si>
    <t>Andre Ringger</t>
  </si>
  <si>
    <t>8011296599947949</t>
    <phoneticPr fontId="1" type="noConversion"/>
  </si>
  <si>
    <t>2020-3-19</t>
    <phoneticPr fontId="1" type="noConversion"/>
  </si>
  <si>
    <t>Switzerland</t>
  </si>
  <si>
    <t>andre.ringger@gmail.com</t>
  </si>
  <si>
    <t>+41 79-775-36-92</t>
  </si>
  <si>
    <t>Ismaila niang</t>
  </si>
  <si>
    <t>kolitenguela</t>
  </si>
  <si>
    <t>ismaelniang@gmail.com</t>
  </si>
  <si>
    <t>+1 704-299-1088</t>
  </si>
  <si>
    <t>8012040053247949</t>
    <phoneticPr fontId="1" type="noConversion"/>
  </si>
  <si>
    <t>CHARLES HOUSEN</t>
  </si>
  <si>
    <t>2001sandman</t>
  </si>
  <si>
    <t>cwhousen@gmail.com</t>
  </si>
  <si>
    <t>+1 305-788-6686</t>
  </si>
  <si>
    <t>Jeanne Young</t>
  </si>
  <si>
    <t>jeayo-2457</t>
  </si>
  <si>
    <t>sjyoung18@yahoo.com</t>
  </si>
  <si>
    <t>+1 409-344-1466</t>
  </si>
  <si>
    <t>MARY HOLMES</t>
  </si>
  <si>
    <t>homar7293-3uitzr</t>
  </si>
  <si>
    <t>maryannholmes1968@gmail.com</t>
  </si>
  <si>
    <t>+1 912-403-7293</t>
  </si>
  <si>
    <t>Intex 10727 Stopper</t>
    <phoneticPr fontId="1" type="noConversion"/>
  </si>
  <si>
    <t>JEAN PETERSON</t>
  </si>
  <si>
    <t>jpdp_30</t>
  </si>
  <si>
    <t>mikecsw1@gmail.com</t>
  </si>
  <si>
    <t>+1 317-851-6031</t>
  </si>
  <si>
    <t>113-7279676-6193011</t>
    <phoneticPr fontId="1" type="noConversion"/>
  </si>
  <si>
    <t>allplay365@yahoo.com</t>
  </si>
  <si>
    <t>+1 843-990-6450</t>
  </si>
  <si>
    <t>113-2034156-2360213</t>
    <phoneticPr fontId="1" type="noConversion"/>
  </si>
  <si>
    <t>113-1916510-7469850</t>
    <phoneticPr fontId="1" type="noConversion"/>
  </si>
  <si>
    <t>alphonso1@hotmail.com</t>
  </si>
  <si>
    <t>+1 347-757-8585</t>
  </si>
  <si>
    <t>Alejandro Uribe</t>
    <phoneticPr fontId="1" type="noConversion"/>
  </si>
  <si>
    <t>Sonia Talamantes</t>
  </si>
  <si>
    <t>us-talam</t>
  </si>
  <si>
    <t>carlito0321@yahoo.com</t>
  </si>
  <si>
    <t>+1 210-548-0034</t>
  </si>
  <si>
    <t>113-2686882-8402607</t>
    <phoneticPr fontId="1" type="noConversion"/>
  </si>
  <si>
    <t>sskyhorse@gmail.com</t>
  </si>
  <si>
    <t>+1 760-925-9412</t>
  </si>
  <si>
    <t>jeffbryat2011@yahoo.com</t>
  </si>
  <si>
    <t>+1 317-418-7614</t>
  </si>
  <si>
    <t>113-2374388-1081812</t>
    <phoneticPr fontId="1" type="noConversion"/>
  </si>
  <si>
    <t>Plano Tote 68 Q</t>
    <phoneticPr fontId="1" type="noConversion"/>
  </si>
  <si>
    <t>113-4063303-8373851</t>
  </si>
  <si>
    <t>Metal Plate - Turtle</t>
    <phoneticPr fontId="1" type="noConversion"/>
  </si>
  <si>
    <t>113-1370780-2846663</t>
    <phoneticPr fontId="1" type="noConversion"/>
  </si>
  <si>
    <t>jpdprp22@yahoo.com</t>
  </si>
  <si>
    <t>+1 715-561-3041</t>
  </si>
  <si>
    <t>113-8967375-2705811</t>
    <phoneticPr fontId="1" type="noConversion"/>
  </si>
  <si>
    <t>Justin Watts</t>
  </si>
  <si>
    <t>justiwatt-0</t>
  </si>
  <si>
    <t>Tammy Webster</t>
  </si>
  <si>
    <t>kiva524</t>
  </si>
  <si>
    <t>1rtwebster@att.net</t>
  </si>
  <si>
    <t>+1 608-289-7196</t>
  </si>
  <si>
    <t>Justin Strauss</t>
  </si>
  <si>
    <t>justinstrauss</t>
  </si>
  <si>
    <t>timothy tangeman</t>
  </si>
  <si>
    <t>11-1buyer</t>
  </si>
  <si>
    <t>steffichangogo@gmail.com</t>
  </si>
  <si>
    <t>+1 501-326-4249</t>
  </si>
  <si>
    <t>113-0094942-2625058</t>
    <phoneticPr fontId="1" type="noConversion"/>
  </si>
  <si>
    <t>113-4967807-7589846</t>
    <phoneticPr fontId="1" type="noConversion"/>
  </si>
  <si>
    <t>nickpazour@gmail.com</t>
  </si>
  <si>
    <t>+1 608-512-3132</t>
  </si>
  <si>
    <t>Curtain - Fish</t>
    <phoneticPr fontId="1" type="noConversion"/>
  </si>
  <si>
    <t>TAC Curtain - Sun n Moon</t>
    <phoneticPr fontId="1" type="noConversion"/>
  </si>
  <si>
    <t>Intex Adaptor A x2</t>
    <phoneticPr fontId="1" type="noConversion"/>
  </si>
  <si>
    <t>Nick Vaughn</t>
  </si>
  <si>
    <t>128 Sarah Dr</t>
  </si>
  <si>
    <t>nick.vaughn@actionindinc.com</t>
  </si>
  <si>
    <t>+1 985-513-2603</t>
  </si>
  <si>
    <t>Daniel Pritchard</t>
  </si>
  <si>
    <t>ddzpritchard</t>
  </si>
  <si>
    <t>danielpritchard98@yahoo.com</t>
  </si>
  <si>
    <t>+1 916-765-1482</t>
  </si>
  <si>
    <t>Teri Dickson</t>
  </si>
  <si>
    <t>tedic_20</t>
  </si>
  <si>
    <t>psychotypist@bellsouth.net</t>
  </si>
  <si>
    <t>+1 305-942-1381</t>
  </si>
  <si>
    <t>113-8585504-8403447</t>
    <phoneticPr fontId="1" type="noConversion"/>
  </si>
  <si>
    <t>jjjwusa@gmail.com</t>
  </si>
  <si>
    <t>+1 631-508-0733</t>
  </si>
  <si>
    <t xml:space="preserve"> </t>
    <phoneticPr fontId="1" type="noConversion"/>
  </si>
  <si>
    <t>Sold 48</t>
    <phoneticPr fontId="1" type="noConversion"/>
  </si>
  <si>
    <t>Ellene Redeker</t>
  </si>
  <si>
    <t>isthatme_46</t>
  </si>
  <si>
    <t>William Curtis</t>
  </si>
  <si>
    <t>billandjanicecurtis</t>
  </si>
  <si>
    <t>+1 443-235-2560</t>
  </si>
  <si>
    <t>billnjc1@verizon.net</t>
  </si>
  <si>
    <t>Intex Maint Kit</t>
    <phoneticPr fontId="1" type="noConversion"/>
  </si>
  <si>
    <t>Thomas Steckler</t>
  </si>
  <si>
    <t>steck_thoma</t>
  </si>
  <si>
    <t>cdltom59@msn.com</t>
  </si>
  <si>
    <t>+1 607-232-6779</t>
  </si>
  <si>
    <t>Jason Hester</t>
  </si>
  <si>
    <t>jhester79@aol.com</t>
  </si>
  <si>
    <t>+1 903-747-6585</t>
  </si>
  <si>
    <t>isthatmethatsfree@yahoo.com</t>
  </si>
  <si>
    <t>+1 239-571-5343</t>
  </si>
  <si>
    <t>113-3811761-7380231</t>
  </si>
  <si>
    <t>+1 406-212-9518</t>
  </si>
  <si>
    <t>justinadamstrauss@gmail.com</t>
  </si>
  <si>
    <t>Kevin Revis</t>
  </si>
  <si>
    <t>kevrev15</t>
  </si>
  <si>
    <t>kevinrevis@gmail.com</t>
  </si>
  <si>
    <t>+1 254-290-5795</t>
  </si>
  <si>
    <t>113-5226937-6881812</t>
  </si>
  <si>
    <t>113-2536895-5757808</t>
  </si>
  <si>
    <t>113-4530340-7413038</t>
    <phoneticPr fontId="1" type="noConversion"/>
  </si>
  <si>
    <t>113-3553186-8920247</t>
    <phoneticPr fontId="1" type="noConversion"/>
  </si>
  <si>
    <t>Plano Tote 68 Q</t>
    <phoneticPr fontId="1" type="noConversion"/>
  </si>
  <si>
    <t>Alex Wood</t>
  </si>
  <si>
    <t>alewoo_31</t>
  </si>
  <si>
    <t>awawd14324@gmail.com</t>
  </si>
  <si>
    <t>+1 508-345-7351</t>
  </si>
  <si>
    <t>MICHAEL DELANCEY</t>
  </si>
  <si>
    <t>mdel2577</t>
  </si>
  <si>
    <t>SHERRI LATUSKA</t>
  </si>
  <si>
    <t>sherrlatus</t>
  </si>
  <si>
    <t>113-4223219-6082613</t>
    <phoneticPr fontId="1" type="noConversion"/>
  </si>
  <si>
    <t>sherrimarie2014@gmail.com</t>
  </si>
  <si>
    <t>+1 970-585-4286</t>
  </si>
  <si>
    <t>113-9668575-8624252</t>
    <phoneticPr fontId="1" type="noConversion"/>
  </si>
  <si>
    <t>Home-X Cork Holder Glass</t>
    <phoneticPr fontId="1" type="noConversion"/>
  </si>
  <si>
    <t>Jerry Vanhoy</t>
  </si>
  <si>
    <t>jevan-1364</t>
  </si>
  <si>
    <t>vanhoytraction07@yahoo.com</t>
  </si>
  <si>
    <t>+1 704-850-4066</t>
  </si>
  <si>
    <t>Rosa De Dios</t>
  </si>
  <si>
    <t>rosaadd04</t>
  </si>
  <si>
    <t>rosaadd@msn.com</t>
  </si>
  <si>
    <t>+1 951-880-3863</t>
  </si>
  <si>
    <t>delancey092@gmail.com</t>
  </si>
  <si>
    <t>+1 603-913-1399</t>
  </si>
  <si>
    <t>Cody Melhorn</t>
  </si>
  <si>
    <t>codymelhorn</t>
  </si>
  <si>
    <t>doctorhornhere@aim.com</t>
  </si>
  <si>
    <t>+1 865-310-6602</t>
  </si>
  <si>
    <t>Curtain - US Flag</t>
    <phoneticPr fontId="1" type="noConversion"/>
  </si>
  <si>
    <t>TAC Curtain - Octopus</t>
    <phoneticPr fontId="1" type="noConversion"/>
  </si>
  <si>
    <t>espgoatman</t>
  </si>
  <si>
    <t>+1 717-767-6804</t>
  </si>
  <si>
    <t>perrymonn@gmail.com</t>
  </si>
  <si>
    <t>Curtain - Fish</t>
    <phoneticPr fontId="1" type="noConversion"/>
  </si>
  <si>
    <t>Jeremiah Boroi</t>
  </si>
  <si>
    <t>djdelidrawer</t>
  </si>
  <si>
    <t>+1 704-996-1622</t>
  </si>
  <si>
    <t>delidrawer@gmail.com</t>
  </si>
  <si>
    <t>Ronetta Coffman</t>
  </si>
  <si>
    <t>csideshopper</t>
  </si>
  <si>
    <t>Plano Tote 56 Q Green</t>
    <phoneticPr fontId="1" type="noConversion"/>
  </si>
  <si>
    <t>Juan Rojas</t>
  </si>
  <si>
    <t>Andrea Roberts</t>
  </si>
  <si>
    <t>foreversocalandrea</t>
  </si>
  <si>
    <t>Philip Hart</t>
  </si>
  <si>
    <t>hart1776</t>
  </si>
  <si>
    <t>northskiguy@yahoo.com</t>
  </si>
  <si>
    <t>+1 208-772-2522</t>
  </si>
  <si>
    <t>2doxiesandme@sbcglobal.net</t>
  </si>
  <si>
    <t>+1 805-550-2384</t>
  </si>
  <si>
    <t>foreversocal@gmail.com</t>
  </si>
  <si>
    <t>+1 971-331-5357</t>
  </si>
  <si>
    <t>111-5788268-5640250</t>
    <phoneticPr fontId="1" type="noConversion"/>
  </si>
  <si>
    <t>111-0686069-9007429</t>
    <phoneticPr fontId="1" type="noConversion"/>
  </si>
  <si>
    <t>111-2057505-5472209</t>
    <phoneticPr fontId="1" type="noConversion"/>
  </si>
  <si>
    <t>111-9636531-3140212</t>
    <phoneticPr fontId="1" type="noConversion"/>
  </si>
  <si>
    <t>111-4757372-4023423</t>
    <phoneticPr fontId="1" type="noConversion"/>
  </si>
  <si>
    <t>111-3931450-4201015</t>
    <phoneticPr fontId="1" type="noConversion"/>
  </si>
  <si>
    <t>111-3331957-3681016</t>
    <phoneticPr fontId="1" type="noConversion"/>
  </si>
  <si>
    <t>Plano Tote 56 Q</t>
    <phoneticPr fontId="1" type="noConversion"/>
  </si>
  <si>
    <t>Edrian Calago</t>
  </si>
  <si>
    <t>drestylez</t>
  </si>
  <si>
    <t>111-8402210-7137000</t>
  </si>
  <si>
    <t>Perry Monn</t>
    <phoneticPr fontId="1" type="noConversion"/>
  </si>
  <si>
    <t>111-2490680-0043425</t>
  </si>
  <si>
    <t>111-5110788-8249824</t>
  </si>
  <si>
    <t>Bob Thurman</t>
  </si>
  <si>
    <t>oldschoolfreek</t>
  </si>
  <si>
    <t>+1 913-631-6014</t>
  </si>
  <si>
    <t>bobthurman99er@yahoo.com</t>
  </si>
  <si>
    <t>111-2730284-2723417</t>
    <phoneticPr fontId="1" type="noConversion"/>
  </si>
  <si>
    <t>111-8854170-9257817</t>
    <phoneticPr fontId="1" type="noConversion"/>
  </si>
  <si>
    <t>+1 215-688-0167</t>
  </si>
  <si>
    <t>kizz67@gmail.com</t>
  </si>
  <si>
    <t>Sharon Bates</t>
  </si>
  <si>
    <t>shizz41</t>
  </si>
  <si>
    <t>111-6610323-1717029</t>
    <phoneticPr fontId="1" type="noConversion"/>
  </si>
  <si>
    <t>shawn McAllister</t>
  </si>
  <si>
    <t>shmcall_45</t>
  </si>
  <si>
    <t>FRANKLYN GUITY</t>
  </si>
  <si>
    <t>frantes81</t>
  </si>
  <si>
    <t>Leslie Mccarty</t>
  </si>
  <si>
    <t>leslimccart0</t>
  </si>
  <si>
    <t>Zoro</t>
    <phoneticPr fontId="1" type="noConversion"/>
  </si>
  <si>
    <t>calagoe@gmail.com</t>
  </si>
  <si>
    <t>+1 847-596-0559</t>
  </si>
  <si>
    <t>Plano Tote 56 Q - Zoro</t>
    <phoneticPr fontId="1" type="noConversion"/>
  </si>
  <si>
    <t>spmcallister1975@gmail.com</t>
  </si>
  <si>
    <t>+1 770-324-4664</t>
  </si>
  <si>
    <t>guity81@yahoo.com</t>
  </si>
  <si>
    <t>+1 504-266-4206</t>
  </si>
  <si>
    <t>111-8954397-9207402</t>
    <phoneticPr fontId="1" type="noConversion"/>
  </si>
  <si>
    <t>Sean Malcom</t>
  </si>
  <si>
    <t>tacticalgunfighter</t>
  </si>
  <si>
    <t>tehsmalcom@gmail.com</t>
  </si>
  <si>
    <t>+1 406-560-4781</t>
  </si>
  <si>
    <t>Mary Larson</t>
  </si>
  <si>
    <t>lar-zfzkrzu</t>
  </si>
  <si>
    <t>elarson360@gmail.com</t>
  </si>
  <si>
    <t>+1 541-390-7930</t>
  </si>
  <si>
    <t>michael huffman</t>
  </si>
  <si>
    <t>macy0502</t>
  </si>
  <si>
    <t>reeseemacy@yahoo.com</t>
  </si>
  <si>
    <t>+1 859-613-4765</t>
  </si>
  <si>
    <t>111-5455466-4983444</t>
    <phoneticPr fontId="1" type="noConversion"/>
  </si>
  <si>
    <t>111-1479797-7921836</t>
    <phoneticPr fontId="1" type="noConversion"/>
  </si>
  <si>
    <t>111-2557000-0909016</t>
    <phoneticPr fontId="1" type="noConversion"/>
  </si>
  <si>
    <t>Jerry P. Howard</t>
  </si>
  <si>
    <t>hot-rod-howard</t>
  </si>
  <si>
    <t>Jo Lloyd</t>
  </si>
  <si>
    <t>faithwlker</t>
  </si>
  <si>
    <t>+1 919-777-8685</t>
  </si>
  <si>
    <t>jogagal1957@gmail.com</t>
  </si>
  <si>
    <t>jphoward_66@yahoo.com</t>
  </si>
  <si>
    <t>+1 720-378-8636</t>
  </si>
  <si>
    <t>Oscar Portillo</t>
  </si>
  <si>
    <t>patudo-2013</t>
  </si>
  <si>
    <t>Jajuan Howard</t>
  </si>
  <si>
    <t>jhow5606</t>
  </si>
  <si>
    <t>kristinhopkins@yahoo.com</t>
  </si>
  <si>
    <t>+1 256-622-9262</t>
  </si>
  <si>
    <t>oscarportillo834@gmail.com</t>
  </si>
  <si>
    <t>+1 504-344-0259</t>
  </si>
  <si>
    <t>113-9794764-7240221</t>
    <phoneticPr fontId="1" type="noConversion"/>
  </si>
  <si>
    <t>113-2538313-3328234</t>
    <phoneticPr fontId="1" type="noConversion"/>
  </si>
  <si>
    <t>TAC</t>
    <phoneticPr fontId="1" type="noConversion"/>
  </si>
  <si>
    <t>Curtain - Square Spot</t>
    <phoneticPr fontId="1" type="noConversion"/>
  </si>
  <si>
    <t>Ricardo Martinez</t>
  </si>
  <si>
    <t>ricmart_5249</t>
  </si>
  <si>
    <t>Carolyn Raich</t>
  </si>
  <si>
    <t>carolynr4714</t>
  </si>
  <si>
    <t>ricardomartinezfg85@gmail.com</t>
  </si>
  <si>
    <t>+1 817-729-1072</t>
  </si>
  <si>
    <t>carolynraich@yahoo.com</t>
  </si>
  <si>
    <t>+1 703-786-2293</t>
  </si>
  <si>
    <t>111-2125435-5579463</t>
  </si>
  <si>
    <t>111-1398636-7758648</t>
  </si>
  <si>
    <t>Monal Hurry</t>
  </si>
  <si>
    <t>bjtimspstsa</t>
  </si>
  <si>
    <t>jaredtardy@hotmail.com</t>
  </si>
  <si>
    <t>+1 207-694-5522</t>
  </si>
  <si>
    <t>Curtain - Tropical</t>
    <phoneticPr fontId="1" type="noConversion"/>
  </si>
  <si>
    <t>teresa fontaine</t>
  </si>
  <si>
    <t>zsazsafontaine@gmail.com</t>
  </si>
  <si>
    <t>+1 408-513-4228</t>
  </si>
  <si>
    <t>jared tardy</t>
  </si>
  <si>
    <t>Brian Hopkins</t>
  </si>
  <si>
    <t>bhopkinsuserid</t>
  </si>
  <si>
    <t>brianhopkins22@yahoo.com</t>
  </si>
  <si>
    <t>+1 810-793-1251</t>
  </si>
  <si>
    <t>111-9402102-4194660</t>
    <phoneticPr fontId="1" type="noConversion"/>
  </si>
  <si>
    <r>
      <t xml:space="preserve">terfont4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</si>
  <si>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t>Plano 3-Tray Tackle Box</t>
    <phoneticPr fontId="1" type="noConversion"/>
  </si>
  <si>
    <t xml:space="preserve">111-8008812-6360204 </t>
  </si>
  <si>
    <t>Klara Albert</t>
  </si>
  <si>
    <t>mib4ibm</t>
  </si>
  <si>
    <t>willycronk@gmail.com</t>
  </si>
  <si>
    <t>+1 909-518-3644</t>
  </si>
  <si>
    <t>Stuart D Juarez</t>
  </si>
  <si>
    <t>thatsurplusguy1967</t>
  </si>
  <si>
    <t>stuartdjuarez@mchsi.com</t>
  </si>
  <si>
    <t>+1 515-577-8214</t>
  </si>
  <si>
    <t>111-2192780-8062618</t>
    <phoneticPr fontId="1" type="noConversion"/>
  </si>
  <si>
    <t>111-9009690-3310657</t>
    <phoneticPr fontId="1" type="noConversion"/>
  </si>
  <si>
    <t>111-8925769-8904237</t>
    <phoneticPr fontId="1" type="noConversion"/>
  </si>
  <si>
    <t>Zoro</t>
    <phoneticPr fontId="1" type="noConversion"/>
  </si>
  <si>
    <t>tardy20 - Zoro</t>
    <phoneticPr fontId="1" type="noConversion"/>
  </si>
  <si>
    <t>Roy Grange</t>
  </si>
  <si>
    <t>spitfire_1939</t>
  </si>
  <si>
    <t>Tom Velasquez</t>
  </si>
  <si>
    <t>tomvelasquez</t>
  </si>
  <si>
    <t>tom@velasquezgroup.com</t>
  </si>
  <si>
    <t>+1 806-334-3533</t>
  </si>
  <si>
    <t>Alex Bauer</t>
  </si>
  <si>
    <t>secretoperative3</t>
  </si>
  <si>
    <t>Randy E. Benjamin</t>
  </si>
  <si>
    <t>rbenjamin60</t>
  </si>
  <si>
    <t>ask_me520@yahoo.com</t>
  </si>
  <si>
    <t>+1 252-259-2402</t>
  </si>
  <si>
    <t>bigfurrycat@gmail.com</t>
  </si>
  <si>
    <t>+1 312-912-4030</t>
  </si>
  <si>
    <t>spitfire_39@yahoo.com</t>
  </si>
  <si>
    <t>+1 623-386-7730</t>
  </si>
  <si>
    <t>111-0858239-5247422</t>
    <phoneticPr fontId="1" type="noConversion"/>
  </si>
  <si>
    <t>US Weight 40 lb</t>
    <phoneticPr fontId="1" type="noConversion"/>
  </si>
  <si>
    <t>michael piskunoff</t>
  </si>
  <si>
    <t>skoda2001</t>
  </si>
  <si>
    <t>skoda2001@msn.com</t>
  </si>
  <si>
    <t>+1 440-623-9070</t>
  </si>
  <si>
    <t>john eite</t>
  </si>
  <si>
    <t>eitjoh3</t>
  </si>
  <si>
    <t>quackhead59@gmail.com</t>
  </si>
  <si>
    <t>+1 803-280-6264</t>
  </si>
  <si>
    <t>Jose Ortiz</t>
  </si>
  <si>
    <t>josorti_601</t>
  </si>
  <si>
    <t>jose04081988@gmail.com</t>
  </si>
  <si>
    <t>+1 863-837-0360</t>
  </si>
  <si>
    <t>giselle perez</t>
  </si>
  <si>
    <t>Blake McDaniel</t>
  </si>
  <si>
    <t>blmcda-0</t>
  </si>
  <si>
    <t>blakemcdaniel@me.com</t>
  </si>
  <si>
    <t>+1 615-554-3210</t>
  </si>
  <si>
    <t>Curtain - Bamboo Dr</t>
    <phoneticPr fontId="1" type="noConversion"/>
  </si>
  <si>
    <t>Tom C. Tingley</t>
  </si>
  <si>
    <t>tomaasso</t>
  </si>
  <si>
    <t>goodeatin@juno.com</t>
  </si>
  <si>
    <t>+1 805-674-2544</t>
  </si>
  <si>
    <t>susan martz</t>
  </si>
  <si>
    <t>lvsheba_0709</t>
  </si>
  <si>
    <t>susan_martz@yahoo.com</t>
  </si>
  <si>
    <t>+1 540-271-2433</t>
  </si>
  <si>
    <t>bill beyrer</t>
  </si>
  <si>
    <t>rockwell414</t>
  </si>
  <si>
    <t>billb414@gmail.com</t>
  </si>
  <si>
    <t>+1 678-300-1569</t>
  </si>
  <si>
    <t>Curtain - Maria</t>
    <phoneticPr fontId="1" type="noConversion"/>
  </si>
  <si>
    <t>Marcos Hernandez</t>
  </si>
  <si>
    <t>hernaus-2ykekmrum</t>
  </si>
  <si>
    <t>prematuro89@hotmail.com</t>
  </si>
  <si>
    <t>+1 863-589-6896</t>
  </si>
  <si>
    <t>Gene Gleffe</t>
  </si>
  <si>
    <t>gegle_92</t>
  </si>
  <si>
    <t>eugenegleffe9@gmail.com</t>
  </si>
  <si>
    <t>+1 706-537-0739</t>
  </si>
  <si>
    <t>Liqa Khalaf</t>
  </si>
  <si>
    <t>likha_54</t>
  </si>
  <si>
    <t>liqakhalaf@yahoo.com</t>
  </si>
  <si>
    <t>+1 816-786-7206</t>
  </si>
  <si>
    <t>tom sizonen</t>
  </si>
  <si>
    <t>siz-18</t>
  </si>
  <si>
    <t>tsizonen@gmail.com</t>
  </si>
  <si>
    <t>+1 920-565-4956</t>
  </si>
  <si>
    <t>giselleperezzayas@yahoo.com</t>
  </si>
  <si>
    <t>+1 939-239-1105</t>
  </si>
  <si>
    <t>111-8527657-8208243</t>
    <phoneticPr fontId="1" type="noConversion"/>
  </si>
  <si>
    <t>111-0265371-5725877</t>
    <phoneticPr fontId="1" type="noConversion"/>
  </si>
  <si>
    <t>111-4453302-0756225</t>
    <phoneticPr fontId="1" type="noConversion"/>
  </si>
  <si>
    <t>Cancelled</t>
    <phoneticPr fontId="1" type="noConversion"/>
  </si>
  <si>
    <t>111-5731395-7034620</t>
    <phoneticPr fontId="1" type="noConversion"/>
  </si>
  <si>
    <t>111-6892099-1418601</t>
    <phoneticPr fontId="1" type="noConversion"/>
  </si>
  <si>
    <t>111-2090943-7282611</t>
    <phoneticPr fontId="1" type="noConversion"/>
  </si>
  <si>
    <t>Audrey Fierberg</t>
  </si>
  <si>
    <t>audrey.rae</t>
  </si>
  <si>
    <t>Curtain - Bird</t>
    <phoneticPr fontId="1" type="noConversion"/>
  </si>
  <si>
    <t>Sterilite - Footlocker</t>
    <phoneticPr fontId="1" type="noConversion"/>
  </si>
  <si>
    <t>Cheryl Jonagan</t>
  </si>
  <si>
    <t>gentry2598</t>
  </si>
  <si>
    <t>cheryljonagan@gmail.com</t>
  </si>
  <si>
    <t>+1 816-651-5472</t>
  </si>
  <si>
    <t>Alisia Boggess</t>
  </si>
  <si>
    <t>alisibogges-0</t>
  </si>
  <si>
    <t>83pudgey@gmail.com</t>
  </si>
  <si>
    <t>+1 330-581-2910</t>
  </si>
  <si>
    <t>audrey.rae.f@gmail.com</t>
  </si>
  <si>
    <t>+1 231-360-7687</t>
  </si>
  <si>
    <t>Austin Wagner</t>
  </si>
  <si>
    <t>auswag_751</t>
  </si>
  <si>
    <t>austinwagner450@gmail.com</t>
  </si>
  <si>
    <t>+1 360-820-3614</t>
  </si>
  <si>
    <t>damien jessup</t>
  </si>
  <si>
    <t>7jessup@gmail.com</t>
  </si>
  <si>
    <t>+1 907-302-1464</t>
  </si>
  <si>
    <t>Chloe Good</t>
  </si>
  <si>
    <t>222chloezech</t>
  </si>
  <si>
    <t>chloegood610@gmail.com</t>
  </si>
  <si>
    <t>+1 570-541-9494</t>
  </si>
  <si>
    <t>111-1898628-8018640</t>
    <phoneticPr fontId="1" type="noConversion"/>
  </si>
  <si>
    <t>MICHAEL MUTAI</t>
  </si>
  <si>
    <t>mikekip2009</t>
  </si>
  <si>
    <t>memoi41@yahoo.com</t>
  </si>
  <si>
    <t>+1 205-482-3872</t>
  </si>
  <si>
    <t>Eliza Stephens</t>
  </si>
  <si>
    <t>elstep5287</t>
  </si>
  <si>
    <t>ejs3539@gmail.com</t>
  </si>
  <si>
    <t>+1 304-741-6939</t>
  </si>
  <si>
    <t>Curtain - Tree</t>
    <phoneticPr fontId="1" type="noConversion"/>
  </si>
  <si>
    <t>Deborah Woodward</t>
  </si>
  <si>
    <t>ddprocurments-8</t>
  </si>
  <si>
    <t>ddprocurments@yahoo.com</t>
  </si>
  <si>
    <t>+1 307-699-1888</t>
  </si>
  <si>
    <t>Christine Hamby</t>
  </si>
  <si>
    <t>cfphamby</t>
  </si>
  <si>
    <t>needmorebooks@msn.com</t>
  </si>
  <si>
    <t>+1 206-795-0290</t>
  </si>
  <si>
    <t>joshua cordero</t>
  </si>
  <si>
    <t>corde-joshu</t>
  </si>
  <si>
    <t>joshuacordero226@yahoo.com</t>
  </si>
  <si>
    <t>+1 561-318-2698</t>
  </si>
  <si>
    <t>Rita Grande</t>
  </si>
  <si>
    <t>craicoughla1</t>
  </si>
  <si>
    <t>craigcoughlan77@gmail.com</t>
  </si>
  <si>
    <t>+1 908-319-9706</t>
  </si>
  <si>
    <t>Ariana Jordan</t>
  </si>
  <si>
    <t>jorsteari</t>
  </si>
  <si>
    <t>steampunker98@gmail.com</t>
  </si>
  <si>
    <t>+1 316-765-1258</t>
  </si>
  <si>
    <t>111-5437847-7753049</t>
    <phoneticPr fontId="1" type="noConversion"/>
  </si>
  <si>
    <t>111-4014176-4926646</t>
    <phoneticPr fontId="1" type="noConversion"/>
  </si>
  <si>
    <t>111-4961958-2286633</t>
  </si>
  <si>
    <t>111-2467987-8769015</t>
    <phoneticPr fontId="1" type="noConversion"/>
  </si>
  <si>
    <t>111-3960504-1509032</t>
    <phoneticPr fontId="1" type="noConversion"/>
  </si>
  <si>
    <t>111-4312377-7724257</t>
  </si>
  <si>
    <t>111-5208602-9656224</t>
  </si>
  <si>
    <t>111-4107037-1697847</t>
    <phoneticPr fontId="1" type="noConversion"/>
  </si>
  <si>
    <t>111-0226826-8472202</t>
  </si>
  <si>
    <t>111-7526201-3077821</t>
    <phoneticPr fontId="1" type="noConversion"/>
  </si>
  <si>
    <t>111-4242574-5011464</t>
    <phoneticPr fontId="1" type="noConversion"/>
  </si>
  <si>
    <t>Steve Fohl</t>
  </si>
  <si>
    <t>woodjava</t>
  </si>
  <si>
    <t>travelamerican@yahoo.com</t>
  </si>
  <si>
    <t>+1 817-919-4053</t>
  </si>
  <si>
    <t>Robert Howerter</t>
  </si>
  <si>
    <t>robhowe-51</t>
  </si>
  <si>
    <t>bobhowerter2228@gmail.com</t>
  </si>
  <si>
    <t>+1 337-412-7903</t>
  </si>
  <si>
    <t>111-8376509-2489050</t>
    <phoneticPr fontId="1" type="noConversion"/>
  </si>
  <si>
    <t>Justin Burton</t>
  </si>
  <si>
    <t>jburton500</t>
  </si>
  <si>
    <t>+1 607-227-7891</t>
  </si>
  <si>
    <t>jburton50@gmail.com</t>
  </si>
  <si>
    <t>111-4598306-4622611</t>
    <phoneticPr fontId="1" type="noConversion"/>
  </si>
  <si>
    <t>111-3707282-5657029</t>
    <phoneticPr fontId="1" type="noConversion"/>
  </si>
  <si>
    <t>111-0241711-7018622</t>
  </si>
  <si>
    <t>111-9344645-6937804</t>
  </si>
  <si>
    <t>sarah kay boldman</t>
  </si>
  <si>
    <t>ssa3400_y9ggu8</t>
  </si>
  <si>
    <t>sarahstna.shoemaker@gmail.com</t>
  </si>
  <si>
    <t>+1 740-637-3400</t>
  </si>
  <si>
    <t>111-4312377-7724257</t>
    <phoneticPr fontId="1" type="noConversion"/>
  </si>
  <si>
    <t>111-6196565-1420232</t>
    <phoneticPr fontId="1" type="noConversion"/>
  </si>
  <si>
    <t>Curtain - Wooden Dr</t>
    <phoneticPr fontId="1" type="noConversion"/>
  </si>
  <si>
    <t>Geoffrey Mack</t>
  </si>
  <si>
    <t>gkmack24</t>
  </si>
  <si>
    <t>gkmack24@yahoo.com</t>
  </si>
  <si>
    <t>+1 203-258-8783</t>
  </si>
  <si>
    <t>Edymari VeleZ garcias</t>
  </si>
  <si>
    <t>edymari19@hotmail.com</t>
  </si>
  <si>
    <t>+1 939-253-7112</t>
  </si>
  <si>
    <t>Jesus Torres</t>
  </si>
  <si>
    <t>lionalmc25@gmail.com</t>
  </si>
  <si>
    <t>+1 787-910-5440</t>
  </si>
  <si>
    <t>Curtain - Window View</t>
    <phoneticPr fontId="1" type="noConversion"/>
  </si>
  <si>
    <t>dulier j Cárdenas</t>
  </si>
  <si>
    <t>duli_crde</t>
  </si>
  <si>
    <t>ducoer@hotmail.com</t>
  </si>
  <si>
    <t>+1 347-484-5983</t>
  </si>
  <si>
    <t>Intex 10727 Stopper</t>
    <phoneticPr fontId="1" type="noConversion"/>
  </si>
  <si>
    <t>sonya smith</t>
  </si>
  <si>
    <t>sonyag79</t>
  </si>
  <si>
    <t>sonyag79@hotmail.com</t>
  </si>
  <si>
    <t>+1 828-474-4618</t>
  </si>
  <si>
    <t>dean kraus</t>
  </si>
  <si>
    <t>rockstar6slinger</t>
  </si>
  <si>
    <t>113-3215303-7958602</t>
  </si>
  <si>
    <t>RC</t>
    <phoneticPr fontId="1" type="noConversion"/>
  </si>
  <si>
    <t>111-2835088-1984257</t>
  </si>
  <si>
    <t>RC</t>
    <phoneticPr fontId="1" type="noConversion"/>
  </si>
  <si>
    <t>113-7773001-9862620</t>
  </si>
  <si>
    <t>Gevorg Kalajyan</t>
  </si>
  <si>
    <t>gevtron-sales</t>
  </si>
  <si>
    <t>gevtron@gmail.com</t>
  </si>
  <si>
    <t>+1 818-925-5257</t>
  </si>
  <si>
    <t>deankraus@gmail.com</t>
  </si>
  <si>
    <t>+1 817-791-2942</t>
  </si>
  <si>
    <t>dtorry9@yahoo.com</t>
  </si>
  <si>
    <t>+1 619-751-4292</t>
  </si>
  <si>
    <t>VICTORIA DUBOSHINA</t>
  </si>
  <si>
    <t>victoriduboshin-0</t>
  </si>
  <si>
    <t>Ramon Santos</t>
  </si>
  <si>
    <t>ramonsantos1222@gmail.com</t>
  </si>
  <si>
    <t>+1 787-598-1430</t>
  </si>
  <si>
    <t>Alex Sanders</t>
  </si>
  <si>
    <t>alsan_2101</t>
  </si>
  <si>
    <t>alexsandersbigboy1993@gmail.com</t>
  </si>
  <si>
    <t>+1 334-405-8803</t>
  </si>
  <si>
    <t>Wesley Gray</t>
  </si>
  <si>
    <t>we.wesgr.fgp9fwz</t>
  </si>
  <si>
    <t>wesleygray116@gmail.com</t>
  </si>
  <si>
    <t>+1 706-350-8571</t>
  </si>
  <si>
    <t>111-6978790-0681044</t>
    <phoneticPr fontId="1" type="noConversion"/>
  </si>
  <si>
    <t>Kelly Greenhouse</t>
  </si>
  <si>
    <t>kellygreenhouse12</t>
  </si>
  <si>
    <t>kellygreenhouse@gmail.com</t>
  </si>
  <si>
    <t>+1 407-347-5622</t>
  </si>
  <si>
    <t>113-1977315-6057840</t>
    <phoneticPr fontId="1" type="noConversion"/>
  </si>
  <si>
    <t>113-9385784-3835419</t>
    <phoneticPr fontId="1" type="noConversion"/>
  </si>
  <si>
    <t xml:space="preserve">111-9258286-3689067  </t>
  </si>
  <si>
    <r>
      <t xml:space="preserve">jesyje  </t>
    </r>
    <r>
      <rPr>
        <sz val="10"/>
        <color rgb="FFFF0000"/>
        <rFont val="Arial Unicode MS"/>
        <family val="2"/>
        <charset val="136"/>
      </rPr>
      <t>CANCELLED</t>
    </r>
    <phoneticPr fontId="1" type="noConversion"/>
  </si>
  <si>
    <t>bridgette thompson</t>
  </si>
  <si>
    <t>thombrid.rljku4l4x</t>
  </si>
  <si>
    <t>bridgept440@yahoo.com</t>
  </si>
  <si>
    <t>+1 617-697-3793</t>
  </si>
  <si>
    <t>theluvlydiane@yahoo.com</t>
  </si>
  <si>
    <t>+1 757-831-0956</t>
  </si>
  <si>
    <t>Curtain - Wooden Dr</t>
    <phoneticPr fontId="1" type="noConversion"/>
  </si>
  <si>
    <t>Curtain - Squares Rings</t>
    <phoneticPr fontId="1" type="noConversion"/>
  </si>
  <si>
    <t>Marques Bailey</t>
  </si>
  <si>
    <t>quesbailey</t>
  </si>
  <si>
    <t>quesbailey5@gmail.com</t>
  </si>
  <si>
    <t>+1 773-616-4048</t>
  </si>
  <si>
    <t>Shannon Dunworth</t>
  </si>
  <si>
    <t>shannondunworth2011</t>
  </si>
  <si>
    <t>shannondunworth@yahoo.com</t>
  </si>
  <si>
    <t>+1 660-238-4131</t>
  </si>
  <si>
    <t>Plano - 108 QT Grey</t>
    <phoneticPr fontId="1" type="noConversion"/>
  </si>
  <si>
    <t>christopher v</t>
  </si>
  <si>
    <t>chrisval_20</t>
  </si>
  <si>
    <t>aneninu@gmail.com</t>
  </si>
  <si>
    <t>+1 412-287-2550</t>
  </si>
  <si>
    <t>Joshua M Sawatsky</t>
  </si>
  <si>
    <t>armitron165waterresist</t>
  </si>
  <si>
    <t>paint_ball_forever@yahoo.com</t>
  </si>
  <si>
    <t>+1 763-248-0798</t>
  </si>
  <si>
    <t>Hollis Salickram</t>
  </si>
  <si>
    <t>rich0070</t>
  </si>
  <si>
    <t>aristocratx44@yahoo.com</t>
  </si>
  <si>
    <t>+1 631-965-5074</t>
  </si>
  <si>
    <t>111-9875906-2373062</t>
    <phoneticPr fontId="1" type="noConversion"/>
  </si>
  <si>
    <t>111-1824160-3505815</t>
    <phoneticPr fontId="1" type="noConversion"/>
  </si>
  <si>
    <t>Yoarick Rivera Alvarez</t>
  </si>
  <si>
    <t>payasoyitin@hotmail.com</t>
  </si>
  <si>
    <t>+1 787-645-1667</t>
  </si>
  <si>
    <t>noemcconchi_0</t>
  </si>
  <si>
    <t>npmsmm@gmail.com</t>
  </si>
  <si>
    <t>+1 386-315-3888</t>
  </si>
  <si>
    <t>113-4127577-7536247</t>
    <phoneticPr fontId="1" type="noConversion"/>
  </si>
  <si>
    <t>Curtain - Bookcase</t>
    <phoneticPr fontId="1" type="noConversion"/>
  </si>
  <si>
    <t>Home-X Cork Holder Barrel</t>
    <phoneticPr fontId="1" type="noConversion"/>
  </si>
  <si>
    <t>pjma1971@hotmail.com</t>
  </si>
  <si>
    <t>+1 504-453-2167</t>
  </si>
  <si>
    <t>gene kochan</t>
  </si>
  <si>
    <t>gkhunk</t>
  </si>
  <si>
    <t>genoyasyasyas@gmail.com</t>
  </si>
  <si>
    <t>+1 775-265-7388</t>
  </si>
  <si>
    <t>Audra Knight</t>
    <phoneticPr fontId="1" type="noConversion"/>
  </si>
  <si>
    <t>Daphne King</t>
    <phoneticPr fontId="1" type="noConversion"/>
  </si>
  <si>
    <t>Curtain - Squares Rings</t>
    <phoneticPr fontId="1" type="noConversion"/>
  </si>
  <si>
    <r>
      <t xml:space="preserve">damiejessu0  </t>
    </r>
    <r>
      <rPr>
        <sz val="10"/>
        <color rgb="FFFF0000"/>
        <rFont val="Arial Unicode MS"/>
        <family val="2"/>
        <charset val="136"/>
      </rPr>
      <t>ISSUE</t>
    </r>
    <phoneticPr fontId="1" type="noConversion"/>
  </si>
  <si>
    <t>111-0818844-3465861</t>
    <phoneticPr fontId="1" type="noConversion"/>
  </si>
  <si>
    <t>111-4198093-1473843</t>
  </si>
  <si>
    <t>ramonsantos757 - PR</t>
    <phoneticPr fontId="1" type="noConversion"/>
  </si>
  <si>
    <t>iamlional            - PR</t>
    <phoneticPr fontId="1" type="noConversion"/>
  </si>
  <si>
    <t>111-0678982-2840200</t>
  </si>
  <si>
    <t>Dewey Coleman</t>
  </si>
  <si>
    <t>clcode-nz5p4v</t>
  </si>
  <si>
    <t>gemdawg35@yahoo.com</t>
  </si>
  <si>
    <t>+1 719-641-9324</t>
  </si>
  <si>
    <t>wesley grogan</t>
  </si>
  <si>
    <t>wesgro-14</t>
  </si>
  <si>
    <t>wesleygrogan81@gmail.com</t>
  </si>
  <si>
    <t>+1 256-626-4181</t>
  </si>
  <si>
    <t>Joshua Weber</t>
  </si>
  <si>
    <t>my73440charger</t>
  </si>
  <si>
    <t>r73mopar@yahoo.com</t>
  </si>
  <si>
    <t>+1 715-886-4040</t>
  </si>
  <si>
    <t>Don Seagraves</t>
  </si>
  <si>
    <t>seag14</t>
  </si>
  <si>
    <t>seagravesflooring@yahoo.com</t>
  </si>
  <si>
    <t>+1 843-597-4462</t>
  </si>
  <si>
    <t>Tonisha Romero</t>
  </si>
  <si>
    <t>jvandkeely1*</t>
  </si>
  <si>
    <t>Luis E. Laboy Acosta</t>
  </si>
  <si>
    <t>orgenblack24@hotmail.com</t>
  </si>
  <si>
    <t>+1 828-744-9124</t>
  </si>
  <si>
    <t>msvega717@gmail.com</t>
  </si>
  <si>
    <t>+1 813-863-3654</t>
  </si>
  <si>
    <t>ladynred_33</t>
  </si>
  <si>
    <t>Curtain Ambesonne - Hawaii</t>
    <phoneticPr fontId="1" type="noConversion"/>
  </si>
  <si>
    <t>Curtain Ambesonne - Sunset</t>
    <phoneticPr fontId="1" type="noConversion"/>
  </si>
  <si>
    <t>aukn13</t>
  </si>
  <si>
    <t>111-9562306-9108226</t>
  </si>
  <si>
    <t>111-3637029-1477010</t>
  </si>
  <si>
    <t>111-3850369-6253836</t>
  </si>
  <si>
    <t>debuskta</t>
  </si>
  <si>
    <t>timothydebusk@hotmail.com</t>
  </si>
  <si>
    <t>+1 785-559-0991</t>
  </si>
  <si>
    <t>Eduardo Maldonado</t>
  </si>
  <si>
    <t>emaldo901@gmail.com</t>
  </si>
  <si>
    <t>+1 787-972-7845</t>
  </si>
  <si>
    <t>Eden Recella</t>
  </si>
  <si>
    <t>edrec-16</t>
  </si>
  <si>
    <t>eden.chai209@gmail.com</t>
  </si>
  <si>
    <t>+1 209-774-6797</t>
  </si>
  <si>
    <t>yoaricriveraalvare0- PR</t>
    <phoneticPr fontId="1" type="noConversion"/>
  </si>
  <si>
    <t>111-0820948-3938651</t>
  </si>
  <si>
    <t>111-0251808-2933864</t>
  </si>
  <si>
    <t>111-6867379-3753048</t>
  </si>
  <si>
    <t>111-6258016-7877807</t>
  </si>
  <si>
    <t>111-0828266-1355404</t>
  </si>
  <si>
    <t>111-4549413-4234602</t>
  </si>
  <si>
    <t>111-8092923-1572246</t>
  </si>
  <si>
    <t>Curtain - Louver</t>
    <phoneticPr fontId="1" type="noConversion"/>
  </si>
  <si>
    <t>tony small</t>
  </si>
  <si>
    <t>smallblock400vortec</t>
  </si>
  <si>
    <t>tonysmall@charter.net</t>
  </si>
  <si>
    <t>+1 731-798-6051</t>
  </si>
  <si>
    <t>enchantedboutiquellc</t>
  </si>
  <si>
    <t>queenmg9009@gmail.com</t>
  </si>
  <si>
    <t>+1 305-992-0895</t>
  </si>
  <si>
    <t>Yesenia Hernandez</t>
  </si>
  <si>
    <t>yyh_yes</t>
  </si>
  <si>
    <t>yyh12271994@gmail.com</t>
  </si>
  <si>
    <t>+1 203-907-8472</t>
  </si>
  <si>
    <t>S Ball</t>
  </si>
  <si>
    <t>gumbotales</t>
  </si>
  <si>
    <t>skeetergumbo@yahoo.com</t>
  </si>
  <si>
    <t>+1 251-391-1099</t>
  </si>
  <si>
    <t>Brandon Knodel</t>
  </si>
  <si>
    <t>Curtain - TAC Optopus</t>
    <phoneticPr fontId="1" type="noConversion"/>
  </si>
  <si>
    <t>Curtain - EYE</t>
    <phoneticPr fontId="1" type="noConversion"/>
  </si>
  <si>
    <t>brandonknodel</t>
  </si>
  <si>
    <t>superdudesellout@yahoo.com</t>
  </si>
  <si>
    <t>+1 929-422-7332</t>
  </si>
  <si>
    <t>Jason Wiler</t>
  </si>
  <si>
    <t>Curtain - Jolly Roger</t>
    <phoneticPr fontId="1" type="noConversion"/>
  </si>
  <si>
    <t>twistedvapeshop</t>
  </si>
  <si>
    <t>j.dubbs@icloud.com</t>
  </si>
  <si>
    <t>+1 320-212-5121</t>
  </si>
  <si>
    <t>Julie Hunt</t>
  </si>
  <si>
    <t>juleshunt76</t>
  </si>
  <si>
    <t>janne076@gmail.com</t>
  </si>
  <si>
    <t>+1 678-594-7221</t>
  </si>
  <si>
    <t>Lismarie Carrion</t>
  </si>
  <si>
    <t>lis.3118.1991@gmail.com</t>
  </si>
  <si>
    <t>+1 787-308-9599</t>
  </si>
  <si>
    <t>Maria Miranda</t>
  </si>
  <si>
    <t>mamir_2897</t>
  </si>
  <si>
    <t>carmen.miranda55@yahoo.com</t>
  </si>
  <si>
    <t>+1 812-351-3053</t>
  </si>
  <si>
    <t>Maria De Los Angeles Martinez</t>
  </si>
  <si>
    <t>anle_8601</t>
  </si>
  <si>
    <t>angielerma80@gmail.com</t>
  </si>
  <si>
    <t>+1 956-615-6181</t>
  </si>
  <si>
    <t>Sandra Davila</t>
  </si>
  <si>
    <t>sandav_51           - PR</t>
    <phoneticPr fontId="1" type="noConversion"/>
  </si>
  <si>
    <t>sandradavila921@gmail.com</t>
  </si>
  <si>
    <t>+1 787-377-2807</t>
  </si>
  <si>
    <t>Sterilite - Footlocker</t>
    <phoneticPr fontId="1" type="noConversion"/>
  </si>
  <si>
    <t>KEVIN CRAUGH</t>
  </si>
  <si>
    <t>daddymankevin</t>
  </si>
  <si>
    <t>craughdad73@gmail.com</t>
  </si>
  <si>
    <t>+1 916-581-9185</t>
  </si>
  <si>
    <t>111-5074740-9624264</t>
  </si>
  <si>
    <t>Diane Nelson</t>
  </si>
  <si>
    <t>1983dianenelson</t>
  </si>
  <si>
    <t>111-1579531-8644249</t>
  </si>
  <si>
    <t>111-6876878-2180251</t>
  </si>
  <si>
    <t>8013116587487949</t>
    <phoneticPr fontId="1" type="noConversion"/>
  </si>
  <si>
    <t>Ali</t>
    <phoneticPr fontId="1" type="noConversion"/>
  </si>
  <si>
    <t>111-7175897-1485042</t>
  </si>
  <si>
    <t>111-8159136-7661854</t>
  </si>
  <si>
    <t>111-5876396-6045822</t>
  </si>
  <si>
    <t>111-8402174-4225058</t>
  </si>
  <si>
    <t>111-8077518-6087457</t>
  </si>
  <si>
    <t>Les Jones</t>
  </si>
  <si>
    <t>l_joles_kcyluvzev</t>
  </si>
  <si>
    <t>lesjonessx3@yahoo.com</t>
  </si>
  <si>
    <t>+1 406-425-1722</t>
  </si>
  <si>
    <t>111-6335791-7752251</t>
  </si>
  <si>
    <t>111-2059890-6153862</t>
  </si>
  <si>
    <t>111-6016182-1688249</t>
  </si>
  <si>
    <t>PSW</t>
    <phoneticPr fontId="1" type="noConversion"/>
  </si>
  <si>
    <t>Judith Rivers</t>
  </si>
  <si>
    <t>judriv-8</t>
  </si>
  <si>
    <t>judyr2000@yahoo.com</t>
  </si>
  <si>
    <t>+1 781-443-2619</t>
  </si>
  <si>
    <t>111-9592305-1136232</t>
  </si>
  <si>
    <t>edymari19-01-89    - PR</t>
    <phoneticPr fontId="1" type="noConversion"/>
  </si>
  <si>
    <t>Intex Pump 1000mph</t>
    <phoneticPr fontId="1" type="noConversion"/>
  </si>
  <si>
    <t>GISEL CARDONA SOTO</t>
  </si>
  <si>
    <t>card.gise             - PR</t>
    <phoneticPr fontId="1" type="noConversion"/>
  </si>
  <si>
    <t>cardonasotogisel@gmail.com</t>
  </si>
  <si>
    <t>+1 787-533-6002</t>
  </si>
  <si>
    <t>Jeremy Delisle</t>
  </si>
  <si>
    <t>jerdel7451</t>
  </si>
  <si>
    <t>jdelisle1975@hotmail.com</t>
  </si>
  <si>
    <t>+1 802-384-0048</t>
  </si>
  <si>
    <t>tina poage</t>
  </si>
  <si>
    <t>bobbygirltina</t>
  </si>
  <si>
    <t>mis_swings@hotmail.com</t>
  </si>
  <si>
    <t>+1 304-646-4839</t>
  </si>
  <si>
    <t>Luis Rodriguez Ortiz</t>
  </si>
  <si>
    <t>lurodrigu-16          - PR</t>
    <phoneticPr fontId="1" type="noConversion"/>
  </si>
  <si>
    <t>luismanuel.3133@gmail.com</t>
  </si>
  <si>
    <t>+1 787-914-3133</t>
  </si>
  <si>
    <t>Curtain - Flag</t>
    <phoneticPr fontId="1" type="noConversion"/>
  </si>
  <si>
    <t>Home-X Cork Holder Birdcase</t>
    <phoneticPr fontId="1" type="noConversion"/>
  </si>
  <si>
    <t>laura moore</t>
  </si>
  <si>
    <t>lamo_1645</t>
  </si>
  <si>
    <t>laurajmoore73@gmail.com</t>
  </si>
  <si>
    <t>+1 480-252-1170</t>
  </si>
  <si>
    <t>Mark Quevedo</t>
  </si>
  <si>
    <t>808soul</t>
  </si>
  <si>
    <t>mquevedo00@aol.com</t>
  </si>
  <si>
    <t>+1 310-773-8187</t>
  </si>
  <si>
    <t>Jonathan Hernandez</t>
  </si>
  <si>
    <t>jontyhdnz00@gmail.com</t>
  </si>
  <si>
    <t>+1 787-375-9339</t>
  </si>
  <si>
    <t>Mike Ethington</t>
  </si>
  <si>
    <t>ethimike</t>
  </si>
  <si>
    <t>mikenbs@hotmail.com</t>
  </si>
  <si>
    <t>+1 208-457-2620</t>
  </si>
  <si>
    <t>Dennis Yan</t>
  </si>
  <si>
    <t>ydsyde.lkhespkv</t>
  </si>
  <si>
    <t>dsyan30@icloud.com</t>
  </si>
  <si>
    <t>+1 626-818-0228</t>
  </si>
  <si>
    <t>jacie sheridan</t>
  </si>
  <si>
    <t>sheri-jaci</t>
  </si>
  <si>
    <t>111-3307948-7966612</t>
  </si>
  <si>
    <r>
      <t xml:space="preserve">Intex Maint Kit - </t>
    </r>
    <r>
      <rPr>
        <sz val="10"/>
        <color rgb="FFFF0000"/>
        <rFont val="Arial Unicode MS"/>
        <family val="2"/>
        <charset val="136"/>
      </rPr>
      <t>chase</t>
    </r>
    <phoneticPr fontId="1" type="noConversion"/>
  </si>
  <si>
    <t>111-2054636-4385064</t>
  </si>
  <si>
    <t>111-6602003-3995458</t>
  </si>
  <si>
    <t>111-8693444-5353031</t>
  </si>
  <si>
    <t>111-4573390-8384218</t>
  </si>
  <si>
    <t>111-6553382-7245028</t>
  </si>
  <si>
    <t>kim Townsend</t>
  </si>
  <si>
    <t>town-9980</t>
  </si>
  <si>
    <t>ttownsendf@aol.com</t>
  </si>
  <si>
    <t>+1 850-319-9090</t>
  </si>
  <si>
    <t>sheridan.jacie@gmail.com</t>
  </si>
  <si>
    <t>+1 770-895-9028</t>
  </si>
  <si>
    <t>Intex 10727 Stopper</t>
    <phoneticPr fontId="1" type="noConversion"/>
  </si>
  <si>
    <t>Metal Plate - Turtle 3 pcs</t>
    <phoneticPr fontId="1" type="noConversion"/>
  </si>
  <si>
    <t>Robert Tallmon</t>
  </si>
  <si>
    <t>lostkid22</t>
  </si>
  <si>
    <t>perdidodog@gmail.com</t>
  </si>
  <si>
    <t>+1 251-233-7878</t>
  </si>
  <si>
    <t>Jose L. Alicea</t>
  </si>
  <si>
    <t>josealicea1979</t>
  </si>
  <si>
    <t xml:space="preserve"> </t>
    <phoneticPr fontId="1" type="noConversion"/>
  </si>
  <si>
    <t>centin23@gmail.com</t>
  </si>
  <si>
    <t>+1 787-469-3834</t>
  </si>
  <si>
    <t>Tracy Baker</t>
  </si>
  <si>
    <t>trwof_90</t>
  </si>
  <si>
    <t>trwoffice1@yahoo.com</t>
  </si>
  <si>
    <t>+1 803-493-1413</t>
  </si>
  <si>
    <t>Jesse Goguen</t>
  </si>
  <si>
    <t>jessgogue-0</t>
  </si>
  <si>
    <t>jessegoguen86@gmail.com</t>
  </si>
  <si>
    <t>+1 774-415-4442</t>
  </si>
  <si>
    <t>Curtain - Virgin Mary</t>
    <phoneticPr fontId="1" type="noConversion"/>
  </si>
  <si>
    <t>Plano Tote 56 QT</t>
    <phoneticPr fontId="1" type="noConversion"/>
  </si>
  <si>
    <t>Jessica Howard</t>
  </si>
  <si>
    <t>jrsh84</t>
  </si>
  <si>
    <t>jessica92howard@gmail.com</t>
  </si>
  <si>
    <t>+1 719-725-1023</t>
  </si>
  <si>
    <t>Brandon Adkins</t>
  </si>
  <si>
    <t>brandonadkins18@aol.com</t>
  </si>
  <si>
    <t>+1 304-712-0201</t>
  </si>
  <si>
    <t>Kelsey Powell</t>
  </si>
  <si>
    <t>beemskeem</t>
  </si>
  <si>
    <t>kelsopowell22@gmail.com</t>
  </si>
  <si>
    <t>+1 206-372-0578</t>
  </si>
  <si>
    <t>Coldest bottle - 21 oz</t>
    <phoneticPr fontId="1" type="noConversion"/>
  </si>
  <si>
    <t>Lora Koval</t>
  </si>
  <si>
    <t>shandia67</t>
  </si>
  <si>
    <t>shandia67@comcast.net</t>
  </si>
  <si>
    <t>+1 865-591-2933</t>
  </si>
  <si>
    <t>111-2953988-3991441</t>
  </si>
  <si>
    <t>111-1986319-4971434</t>
  </si>
  <si>
    <t>111-7298018-5646640</t>
  </si>
  <si>
    <t>111-9844461-5691438</t>
  </si>
  <si>
    <t>Angelica Jethroe</t>
  </si>
  <si>
    <t>angejet18</t>
  </si>
  <si>
    <t>jethroeangelica@yahoo.com</t>
  </si>
  <si>
    <t>+1 814-722-5641</t>
  </si>
  <si>
    <t>Samantha Fontenot</t>
  </si>
  <si>
    <t>samamill_wxgwsctr</t>
  </si>
  <si>
    <t>miller_sam.2556@yahoo.com</t>
  </si>
  <si>
    <t>+1 337-496-6902</t>
  </si>
  <si>
    <t>Milagros Galindez</t>
  </si>
  <si>
    <t>mgalindez01@gmail.com</t>
  </si>
  <si>
    <t>+1 787-299-2285</t>
  </si>
  <si>
    <t>111-3190716-0569836</t>
  </si>
  <si>
    <t>111-3331369-8517823</t>
  </si>
  <si>
    <t>111-0907896-0841043</t>
  </si>
  <si>
    <t>111-4595115-1541842</t>
  </si>
  <si>
    <t>111-6633992-7910651</t>
  </si>
  <si>
    <t>111-1805969-5877839</t>
  </si>
  <si>
    <t>111-3908656-3191423</t>
  </si>
  <si>
    <t>In The Pool Supplier</t>
    <phoneticPr fontId="1" type="noConversion"/>
  </si>
  <si>
    <t>111-5843646-8110662</t>
  </si>
  <si>
    <t>111-8930278-5011416</t>
  </si>
  <si>
    <t>111-3574853-0289867</t>
  </si>
  <si>
    <t>111-4146577-8830600</t>
  </si>
  <si>
    <t>Gerald Barth</t>
  </si>
  <si>
    <t>reclaimer31</t>
  </si>
  <si>
    <t>reclaimer31@yahoo.com</t>
  </si>
  <si>
    <t>+1 585-690-6263</t>
  </si>
  <si>
    <t>Randy Ortiz padilla</t>
  </si>
  <si>
    <t>orranr.to7hdv820</t>
  </si>
  <si>
    <t>randy_ortiz1423@yahoo.com</t>
  </si>
  <si>
    <t>+1 786-908-4343</t>
  </si>
  <si>
    <t>Neishaleira Velez</t>
  </si>
  <si>
    <t>neishavelez05@gmail.com</t>
  </si>
  <si>
    <t>+1 939-642-5334</t>
  </si>
  <si>
    <t>Jose Miranda</t>
  </si>
  <si>
    <t>cristob_1910</t>
  </si>
  <si>
    <t>cristobaljuan17@gmail.com</t>
  </si>
  <si>
    <t>+1 972-999-3085</t>
  </si>
  <si>
    <r>
      <t xml:space="preserve">negroblack24 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</si>
  <si>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r>
      <t>lis.3118.19911</t>
    </r>
    <r>
      <rPr>
        <sz val="10"/>
        <color rgb="FFFF0000"/>
        <rFont val="Arial Unicode MS"/>
        <family val="2"/>
        <charset val="136"/>
      </rPr>
      <t xml:space="preserve"> Can</t>
    </r>
    <r>
      <rPr>
        <sz val="10"/>
        <color theme="1"/>
        <rFont val="Arial Unicode MS"/>
        <family val="2"/>
        <charset val="136"/>
      </rPr>
      <t>- PR</t>
    </r>
    <phoneticPr fontId="1" type="noConversion"/>
  </si>
  <si>
    <t>111-6289251-4033845</t>
  </si>
  <si>
    <t>ITPS no receipt sent</t>
    <phoneticPr fontId="1" type="noConversion"/>
  </si>
  <si>
    <t>ITPS No option to send</t>
    <phoneticPr fontId="1" type="noConversion"/>
  </si>
  <si>
    <t>ITPS no option</t>
    <phoneticPr fontId="1" type="noConversion"/>
  </si>
  <si>
    <t>Eddie Showalter</t>
  </si>
  <si>
    <t>edshow_0</t>
  </si>
  <si>
    <t>Eric Smith</t>
  </si>
  <si>
    <t>ersm1782</t>
  </si>
  <si>
    <t>shanesmith8318@gmail.com</t>
  </si>
  <si>
    <t>+1 518-832-8426</t>
  </si>
  <si>
    <t>ltlmak83@gmail.com</t>
  </si>
  <si>
    <t>+1 540-810-5402</t>
  </si>
  <si>
    <t>111-1053886-1438644</t>
  </si>
  <si>
    <t>111-5395142-6694623</t>
  </si>
  <si>
    <t>111-3869978-6397854</t>
  </si>
  <si>
    <t>111-0294799-5341008</t>
  </si>
  <si>
    <t>111-4989037-8907413</t>
  </si>
  <si>
    <t>Rikki Wampler</t>
  </si>
  <si>
    <t>wamp80</t>
  </si>
  <si>
    <t>pooh_1126_1980@yahoo.com</t>
  </si>
  <si>
    <t>+1 605-290-7583</t>
  </si>
  <si>
    <t>Antonio perez</t>
  </si>
  <si>
    <t>willpere6</t>
  </si>
  <si>
    <t>wperez243@gmail.com</t>
  </si>
  <si>
    <t>+1 405-996-9056</t>
  </si>
  <si>
    <t>millie newport</t>
  </si>
  <si>
    <t>ahmillieahmillie</t>
  </si>
  <si>
    <t>Kyle Huff</t>
  </si>
  <si>
    <t>keithstone193</t>
  </si>
  <si>
    <t>+1 908-303-7110</t>
  </si>
  <si>
    <t>kmh8708@gmail.com</t>
  </si>
  <si>
    <t>emal_29               - PR</t>
    <phoneticPr fontId="1" type="noConversion"/>
  </si>
  <si>
    <t>sputnik110_0 - chg</t>
    <phoneticPr fontId="1" type="noConversion"/>
  </si>
  <si>
    <t>handiman_tractor - chg</t>
    <phoneticPr fontId="1" type="noConversion"/>
  </si>
  <si>
    <t>8013248226707940</t>
    <phoneticPr fontId="1" type="noConversion"/>
  </si>
  <si>
    <t>Janet Canupp</t>
  </si>
  <si>
    <t>janc-50</t>
  </si>
  <si>
    <t>jancando@icloud.com</t>
  </si>
  <si>
    <t>+1 803-323-9959</t>
  </si>
  <si>
    <t>emelyn flores</t>
  </si>
  <si>
    <t>emmie323</t>
  </si>
  <si>
    <t>flores.emelyn@ymail.com</t>
  </si>
  <si>
    <t>+1 323-229-4646</t>
  </si>
  <si>
    <t>111-7946266-6084202</t>
  </si>
  <si>
    <t>113-4042681-9766619</t>
  </si>
  <si>
    <t>RC</t>
    <phoneticPr fontId="1" type="noConversion"/>
  </si>
  <si>
    <t>111-8182120-7234646</t>
  </si>
  <si>
    <t>113-1676052-6942660</t>
  </si>
  <si>
    <t>113-4744314-6894603</t>
  </si>
  <si>
    <t>chanronny08</t>
  </si>
  <si>
    <t>111-1266403-5205825</t>
  </si>
  <si>
    <t>Refunded</t>
    <phoneticPr fontId="1" type="noConversion"/>
  </si>
  <si>
    <t>#TC1009</t>
  </si>
  <si>
    <t>CANCELLED</t>
    <phoneticPr fontId="1" type="noConversion"/>
  </si>
  <si>
    <t>Walmart</t>
    <phoneticPr fontId="1" type="noConversion"/>
  </si>
  <si>
    <t xml:space="preserve">3862057-552574 </t>
  </si>
  <si>
    <t>111-4252425-0850648</t>
  </si>
  <si>
    <t>111-6349429-5769042</t>
  </si>
  <si>
    <t>CAT</t>
    <phoneticPr fontId="1" type="noConversion"/>
  </si>
  <si>
    <t>111-7563126-7381828</t>
  </si>
  <si>
    <t>111-9437007-1749032</t>
  </si>
  <si>
    <t>111-6251325-7945867</t>
  </si>
  <si>
    <t>111-1837452-6469809</t>
  </si>
  <si>
    <t>PSW  CAT</t>
    <phoneticPr fontId="1" type="noConversion"/>
  </si>
  <si>
    <t>Boe Roberts</t>
  </si>
  <si>
    <t>Mind Rider - Cork H Barrel</t>
    <phoneticPr fontId="1" type="noConversion"/>
  </si>
  <si>
    <t>bgroberts01</t>
  </si>
  <si>
    <r>
      <t xml:space="preserve">brandoadkin-25 -- 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</si>
  <si>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t>Joy M. Scott</t>
  </si>
  <si>
    <t>el-nopal</t>
  </si>
  <si>
    <t>nopales919@gmail.com</t>
  </si>
  <si>
    <t>+1 432-284-9410</t>
  </si>
  <si>
    <t>groberts754@aol.com</t>
  </si>
  <si>
    <t>+1 330-808-8358</t>
  </si>
  <si>
    <t>Bernardo Martinez</t>
  </si>
  <si>
    <t>bernmart-6289</t>
  </si>
  <si>
    <t>Curtain - Color Wave</t>
    <phoneticPr fontId="1" type="noConversion"/>
  </si>
  <si>
    <t>bernardo96000@yahoo.com</t>
  </si>
  <si>
    <t>+1 281-917-6345</t>
  </si>
  <si>
    <t>Curtain - EYE</t>
    <phoneticPr fontId="1" type="noConversion"/>
  </si>
  <si>
    <t>michelle pemberton</t>
  </si>
  <si>
    <t>redrocket13_123</t>
  </si>
  <si>
    <t>redrocket_michelle@yahoo.com</t>
  </si>
  <si>
    <t>+1 317-590-1149</t>
  </si>
  <si>
    <t>gerald moore</t>
  </si>
  <si>
    <t>gmoore1962</t>
  </si>
  <si>
    <t>gmoore196242@gmail.com</t>
  </si>
  <si>
    <t>+1 910-263-1962</t>
  </si>
  <si>
    <t>Curtain - Waikiki</t>
    <phoneticPr fontId="1" type="noConversion"/>
  </si>
  <si>
    <t>joe bankston</t>
  </si>
  <si>
    <t>vikingsfaninokc</t>
  </si>
  <si>
    <t>jbankston@peaktopeakroofing.com</t>
  </si>
  <si>
    <t>+1 405-922-9428</t>
  </si>
  <si>
    <t>#3882061015030</t>
  </si>
  <si>
    <t>111-2182983-8849859</t>
  </si>
  <si>
    <t>Plano Tote 68 QT</t>
    <phoneticPr fontId="1" type="noConversion"/>
  </si>
  <si>
    <t>Cancelled</t>
    <phoneticPr fontId="1" type="noConversion"/>
  </si>
  <si>
    <t>Jammie Yarborough</t>
  </si>
  <si>
    <t>jammiyarboroug_0</t>
  </si>
  <si>
    <t>Arelys Santiago</t>
  </si>
  <si>
    <t>Monicka Bryant</t>
  </si>
  <si>
    <t>monbry-91</t>
  </si>
  <si>
    <t>born2bqueen@yahoo.com</t>
  </si>
  <si>
    <t>+1 502-403-6262</t>
  </si>
  <si>
    <t>are6969@hotmail.com</t>
  </si>
  <si>
    <t>+1 787-207-1058</t>
  </si>
  <si>
    <t>jammieyarborough@gmail.com</t>
  </si>
  <si>
    <t>+1 919-770-8532</t>
  </si>
  <si>
    <t>nildamaldonadoquebrada@gmail.com</t>
  </si>
  <si>
    <t>+1 787-344-1722</t>
  </si>
  <si>
    <t>Bryan J Winters</t>
  </si>
  <si>
    <t>chemedbryan</t>
  </si>
  <si>
    <t>wintersbryan@bellsouth.net</t>
  </si>
  <si>
    <t>+1 337-660-9281</t>
  </si>
  <si>
    <t>Sue Kisela</t>
  </si>
  <si>
    <t>suemomtojosh@sbcglobal.net</t>
  </si>
  <si>
    <t>+1 219-322-2567</t>
  </si>
  <si>
    <t>Sh Co</t>
    <phoneticPr fontId="1" type="noConversion"/>
  </si>
  <si>
    <t>Tracking</t>
    <phoneticPr fontId="1" type="noConversion"/>
  </si>
  <si>
    <t>Arlene Serano</t>
  </si>
  <si>
    <t>18-04920-70925</t>
  </si>
  <si>
    <t>Zoro</t>
    <phoneticPr fontId="1" type="noConversion"/>
  </si>
  <si>
    <t>eBay Problem</t>
    <phoneticPr fontId="1" type="noConversion"/>
  </si>
  <si>
    <t>111-0241524-2787411</t>
  </si>
  <si>
    <t>Eduardo Lopez</t>
  </si>
  <si>
    <t>eduardol468@yahoo.com</t>
  </si>
  <si>
    <t>+1 787-635-6367</t>
  </si>
  <si>
    <t>djdaveypr@aol.com</t>
  </si>
  <si>
    <t>+1 787-469-0689</t>
  </si>
  <si>
    <t>Rafi Fernandez</t>
  </si>
  <si>
    <t>raquiles.fer13@gmail.com</t>
  </si>
  <si>
    <t>+1 787-675-6366</t>
  </si>
  <si>
    <t>roberto arias</t>
  </si>
  <si>
    <t>robar-3298</t>
  </si>
  <si>
    <t>medley, FL 33178-2829</t>
  </si>
  <si>
    <t>+1 786-234-9275</t>
  </si>
  <si>
    <t>Ricky Hardwick</t>
  </si>
  <si>
    <t>trikkericnjo</t>
  </si>
  <si>
    <t>lowcountrykitties@yahoo.com</t>
  </si>
  <si>
    <t>+1 843-359-4236</t>
  </si>
  <si>
    <t xml:space="preserve"> </t>
    <phoneticPr fontId="1" type="noConversion"/>
  </si>
  <si>
    <t>Cynthia Lendzion</t>
  </si>
  <si>
    <t>cynlend-0</t>
  </si>
  <si>
    <t>tranq pascual</t>
  </si>
  <si>
    <t>tranpascu</t>
  </si>
  <si>
    <t>veronica fernandez</t>
  </si>
  <si>
    <t>vfernandez73</t>
  </si>
  <si>
    <t>veronica3214@hotmail.com</t>
  </si>
  <si>
    <t>+1 305-389-1623</t>
  </si>
  <si>
    <t>lab.figueroa@yahoo.com</t>
  </si>
  <si>
    <t>+1 787-531-7673</t>
  </si>
  <si>
    <t>tpascual3@yahoo.com</t>
  </si>
  <si>
    <t>+1 808-558-0430</t>
  </si>
  <si>
    <t>Elaine cueli</t>
  </si>
  <si>
    <t>franciscsuare0</t>
  </si>
  <si>
    <t>ellocoo37@gmail.com</t>
  </si>
  <si>
    <t>+1 813-410-3410</t>
  </si>
  <si>
    <t>Kenneth Leist</t>
  </si>
  <si>
    <t>kinsen77</t>
  </si>
  <si>
    <t>tsiel77@yahoo.com</t>
  </si>
  <si>
    <t>+1 740-606-6763</t>
  </si>
  <si>
    <t>Harriet Bell</t>
  </si>
  <si>
    <t>annbelwatk922</t>
  </si>
  <si>
    <t>harjoebelhub@gmail.com</t>
  </si>
  <si>
    <t>+1 706-445-0919</t>
  </si>
  <si>
    <t>Zoro</t>
    <phoneticPr fontId="1" type="noConversion"/>
  </si>
  <si>
    <t>11-04926-32722</t>
  </si>
  <si>
    <t>1Z6W75630328514039</t>
  </si>
  <si>
    <t>UPS</t>
  </si>
  <si>
    <t>Zoro --- Apr29</t>
    <phoneticPr fontId="1" type="noConversion"/>
  </si>
  <si>
    <t>6789sue --- Chase</t>
    <phoneticPr fontId="1" type="noConversion"/>
  </si>
  <si>
    <t>111-6607582-6949801</t>
  </si>
  <si>
    <t>YF MALL</t>
  </si>
  <si>
    <t>YF MALL</t>
    <phoneticPr fontId="1" type="noConversion"/>
  </si>
  <si>
    <t>1ZY4V3640313729644</t>
  </si>
  <si>
    <t>UPS</t>
    <phoneticPr fontId="1" type="noConversion"/>
  </si>
  <si>
    <t>113-4626524-4281017</t>
  </si>
  <si>
    <t>9361289695090640411238</t>
    <phoneticPr fontId="1" type="noConversion"/>
  </si>
  <si>
    <t>USPS</t>
  </si>
  <si>
    <t>USPS</t>
    <phoneticPr fontId="1" type="noConversion"/>
  </si>
  <si>
    <t>9361289671090696428907</t>
    <phoneticPr fontId="1" type="noConversion"/>
  </si>
  <si>
    <t>1Z885V840353245561</t>
    <phoneticPr fontId="1" type="noConversion"/>
  </si>
  <si>
    <t>9361289670090541936572</t>
    <phoneticPr fontId="1" type="noConversion"/>
  </si>
  <si>
    <t>9361289677090445316824</t>
    <phoneticPr fontId="1" type="noConversion"/>
  </si>
  <si>
    <t>are6969787  --------- PR</t>
    <phoneticPr fontId="1" type="noConversion"/>
  </si>
  <si>
    <t>lab.figueroa2011  --- PR</t>
    <phoneticPr fontId="1" type="noConversion"/>
  </si>
  <si>
    <t>111-5165412-1197027</t>
  </si>
  <si>
    <t>CAT</t>
    <phoneticPr fontId="1" type="noConversion"/>
  </si>
  <si>
    <t>111-6656532-8872236</t>
  </si>
  <si>
    <t>111-9176687-5133823</t>
  </si>
  <si>
    <t>Margaret Samuels</t>
  </si>
  <si>
    <t>margsam_99</t>
  </si>
  <si>
    <t>dolphinpsych@yahoo.com</t>
  </si>
  <si>
    <t>+1 941-773-1508</t>
  </si>
  <si>
    <t>ROLAND MCFADDEN</t>
  </si>
  <si>
    <t>rolly38</t>
  </si>
  <si>
    <t>rpmcfad@comcast.net</t>
  </si>
  <si>
    <t>+1 574-551-3075</t>
  </si>
  <si>
    <t>113-8131151-8320203</t>
  </si>
  <si>
    <t>Paul Sibley</t>
  </si>
  <si>
    <t>pauls1118</t>
  </si>
  <si>
    <t>frazier1118@yahoo.com</t>
  </si>
  <si>
    <t>+1 225-202-6885</t>
  </si>
  <si>
    <t>larry benavidez</t>
  </si>
  <si>
    <t>belalar_7rdhj7e78</t>
  </si>
  <si>
    <t>lartaurus4@gmail.com</t>
  </si>
  <si>
    <t>+1 970-568-2647</t>
  </si>
  <si>
    <t>Lianis Lopez</t>
  </si>
  <si>
    <t>lianis422@gmail.com</t>
  </si>
  <si>
    <t>+1 939-270-9160</t>
  </si>
  <si>
    <t>1Z9702V70220117297</t>
  </si>
  <si>
    <t>ID: 9205590213422206849582</t>
  </si>
  <si>
    <t>1Z9702V70220116574</t>
  </si>
  <si>
    <t>Elimelec Santana</t>
  </si>
  <si>
    <r>
      <t xml:space="preserve">elimelec.91-- PR 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</si>
  <si>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t>elimelec@ymail.com</t>
  </si>
  <si>
    <t>+1 787-206-6514</t>
  </si>
  <si>
    <t>Curtain - Bookcase</t>
    <phoneticPr fontId="1" type="noConversion"/>
  </si>
  <si>
    <t>Intex 10747 Pump Value</t>
    <phoneticPr fontId="1" type="noConversion"/>
  </si>
  <si>
    <t>Danielle Velazquez</t>
  </si>
  <si>
    <t>danielle_vel1</t>
  </si>
  <si>
    <t>danivel@msn.com</t>
  </si>
  <si>
    <t>+1 858-774-2155</t>
  </si>
  <si>
    <t>Christian Vogeler</t>
  </si>
  <si>
    <t>vogie84</t>
  </si>
  <si>
    <t>cvoges@mac.com</t>
  </si>
  <si>
    <t>+1 845-406-2934</t>
  </si>
  <si>
    <t>111-6345453-7094637</t>
  </si>
  <si>
    <t>9361289717009354197308</t>
    <phoneticPr fontId="1" type="noConversion"/>
  </si>
  <si>
    <t>02-04938-81549</t>
    <phoneticPr fontId="1" type="noConversion"/>
  </si>
  <si>
    <t>Alaina Weeks</t>
  </si>
  <si>
    <t>Curtain - EYE</t>
    <phoneticPr fontId="1" type="noConversion"/>
  </si>
  <si>
    <t>Intex Maint Kit</t>
    <phoneticPr fontId="1" type="noConversion"/>
  </si>
  <si>
    <t>Intex Pump 1500mph</t>
    <phoneticPr fontId="1" type="noConversion"/>
  </si>
  <si>
    <t>neko.m78</t>
  </si>
  <si>
    <t>neko.meeko805@gmail.com</t>
  </si>
  <si>
    <t>+1 805-423-9171</t>
  </si>
  <si>
    <t>jerry martinez</t>
  </si>
  <si>
    <t>jerrylmm2441@gmail.com</t>
  </si>
  <si>
    <t>+1 787-240-4098</t>
  </si>
  <si>
    <t>Gallagher Caballero</t>
  </si>
  <si>
    <t>galcab.a_98</t>
  </si>
  <si>
    <t>galcab.autorepair@gmail.com</t>
  </si>
  <si>
    <t>+1 619-627-5821</t>
  </si>
  <si>
    <t>veronica fernandez</t>
    <phoneticPr fontId="1" type="noConversion"/>
  </si>
  <si>
    <t>trokon2004</t>
  </si>
  <si>
    <t>lafayettesuku@gmail.com</t>
  </si>
  <si>
    <t>+1 336-202-2157</t>
  </si>
  <si>
    <t>Jonathan Rodriguez</t>
  </si>
  <si>
    <t>mueka47pr@gmail.com</t>
  </si>
  <si>
    <t>+1 787-669-3595</t>
  </si>
  <si>
    <t>Lino Ramirez</t>
  </si>
  <si>
    <t>liram_472</t>
  </si>
  <si>
    <t>liniramirezmiranda@gmail.com</t>
  </si>
  <si>
    <t>+1 760-623-8114</t>
  </si>
  <si>
    <t>Jamie Ford</t>
  </si>
  <si>
    <t>Curtain - Square Rings</t>
    <phoneticPr fontId="1" type="noConversion"/>
  </si>
  <si>
    <t>Lecenia Mercado</t>
  </si>
  <si>
    <t>leceniamercado@gmail.com</t>
  </si>
  <si>
    <t>+1 702-335-9887</t>
  </si>
  <si>
    <t>jme4vr702@icloud.com</t>
  </si>
  <si>
    <t>Melody Hughes</t>
  </si>
  <si>
    <t>rt66mom</t>
  </si>
  <si>
    <t>nordicb@aol.com</t>
  </si>
  <si>
    <t>+1 806-680-8366</t>
  </si>
  <si>
    <t>brian45891@yahoo.com</t>
  </si>
  <si>
    <t>+1 419-771-0333</t>
  </si>
  <si>
    <t>Brian Rase</t>
  </si>
  <si>
    <t>brase34</t>
  </si>
  <si>
    <t>Curtain - Sun n Moon</t>
    <phoneticPr fontId="1" type="noConversion"/>
  </si>
  <si>
    <t>111-2332000-3374640</t>
  </si>
  <si>
    <t>111-5268936-9391409</t>
  </si>
  <si>
    <t>111-7370123-9853009</t>
  </si>
  <si>
    <t>djdaveypr1 ----------- PR</t>
    <phoneticPr fontId="1" type="noConversion"/>
  </si>
  <si>
    <t>111-6673964-0034656</t>
    <phoneticPr fontId="1" type="noConversion"/>
  </si>
  <si>
    <t>eduardlope-23 ------- PR</t>
    <phoneticPr fontId="1" type="noConversion"/>
  </si>
  <si>
    <t>111-7877411-2643402</t>
  </si>
  <si>
    <t>Plano Tote 56 QT</t>
    <phoneticPr fontId="1" type="noConversion"/>
  </si>
  <si>
    <t>Suzanne Courtright</t>
  </si>
  <si>
    <t>suzanncourtrigh0</t>
  </si>
  <si>
    <t>suzie.roger@hotmail.com</t>
  </si>
  <si>
    <t>+1 918-285-6102</t>
  </si>
  <si>
    <t>thekeys@live.com</t>
  </si>
  <si>
    <t>+1 307-780-7295</t>
  </si>
  <si>
    <t>John Key</t>
  </si>
  <si>
    <t>307.2112</t>
    <phoneticPr fontId="1" type="noConversion"/>
  </si>
  <si>
    <t>Dominic Laven</t>
  </si>
  <si>
    <t>vortc</t>
  </si>
  <si>
    <t>dj.laven@gmail.com</t>
  </si>
  <si>
    <t>+1 623-826-7031</t>
  </si>
  <si>
    <t>111-7592554-8786636</t>
  </si>
  <si>
    <t>SeasonWide</t>
    <phoneticPr fontId="1" type="noConversion"/>
  </si>
  <si>
    <t>daniel.2319@hotmail.com</t>
  </si>
  <si>
    <t>+1 939-243-8534</t>
  </si>
  <si>
    <t>Javier Quintero</t>
  </si>
  <si>
    <t>javiquintero29@gmail.com</t>
  </si>
  <si>
    <t>+1 787-619-6682</t>
  </si>
  <si>
    <t>Leo Carranza</t>
  </si>
  <si>
    <t>carr-37</t>
  </si>
  <si>
    <t>leocarr7@yahoo.com</t>
  </si>
  <si>
    <t>+1 323-830-0408</t>
  </si>
  <si>
    <t>Librado Reyes</t>
  </si>
  <si>
    <t>manalibrado</t>
  </si>
  <si>
    <t>lreyes@ciselp.com.mx</t>
  </si>
  <si>
    <t>6562244167</t>
    <phoneticPr fontId="1" type="noConversion"/>
  </si>
  <si>
    <t>Dan O'Connell</t>
  </si>
  <si>
    <t>danoconn2323</t>
  </si>
  <si>
    <t>danoconn23@yahoo.com</t>
  </si>
  <si>
    <t>+1 775-691-1829</t>
  </si>
  <si>
    <t>spyra.corey87@gmail.com</t>
  </si>
  <si>
    <t>+1 716-341-0961</t>
  </si>
  <si>
    <t>Corey Spyra</t>
  </si>
  <si>
    <t>113-3226402-4142625</t>
  </si>
  <si>
    <t>111-0087217-7284234</t>
  </si>
  <si>
    <t>111-4623734-6445029</t>
  </si>
  <si>
    <t>jerrmartine_8 --------- PR</t>
    <phoneticPr fontId="1" type="noConversion"/>
  </si>
  <si>
    <t>johnkagelidis   --- Chg</t>
    <phoneticPr fontId="1" type="noConversion"/>
  </si>
  <si>
    <t>111-4460937-7823423</t>
  </si>
  <si>
    <t>111-2748504-4961860</t>
  </si>
  <si>
    <t>111-0714578-2080246</t>
  </si>
  <si>
    <t>15-04934-87399</t>
    <phoneticPr fontId="1" type="noConversion"/>
  </si>
  <si>
    <t>17-04937-27619</t>
    <phoneticPr fontId="1" type="noConversion"/>
  </si>
  <si>
    <t xml:space="preserve">111-6031665-7925838 </t>
  </si>
  <si>
    <t>392368579608</t>
    <phoneticPr fontId="1" type="noConversion"/>
  </si>
  <si>
    <t>Fedex</t>
    <phoneticPr fontId="1" type="noConversion"/>
  </si>
  <si>
    <t>113-6059165-2345843</t>
  </si>
  <si>
    <t>9405511899223115775422</t>
    <phoneticPr fontId="1" type="noConversion"/>
  </si>
  <si>
    <t>113-3673108-0783404</t>
  </si>
  <si>
    <t>392291621747</t>
    <phoneticPr fontId="1" type="noConversion"/>
  </si>
  <si>
    <t>392291623670</t>
    <phoneticPr fontId="1" type="noConversion"/>
  </si>
  <si>
    <t>113-1483103-5725840</t>
  </si>
  <si>
    <t>1ZE24A620380501799</t>
    <phoneticPr fontId="1" type="noConversion"/>
  </si>
  <si>
    <t>9205590213425906460408</t>
    <phoneticPr fontId="1" type="noConversion"/>
  </si>
  <si>
    <t>146351180471​</t>
    <phoneticPr fontId="1" type="noConversion"/>
  </si>
  <si>
    <t>392195229213</t>
    <phoneticPr fontId="1" type="noConversion"/>
  </si>
  <si>
    <t>TBA020095499601</t>
  </si>
  <si>
    <t xml:space="preserve">9361289690090811446026
</t>
    <phoneticPr fontId="1" type="noConversion"/>
  </si>
  <si>
    <t>USPS</t>
    <phoneticPr fontId="1" type="noConversion"/>
  </si>
  <si>
    <t>178800171681</t>
    <phoneticPr fontId="1" type="noConversion"/>
  </si>
  <si>
    <t>FedEx</t>
  </si>
  <si>
    <t>1Z79Y9R81324589590</t>
  </si>
  <si>
    <t>jfrjaim --- not found to del</t>
    <phoneticPr fontId="1" type="noConversion"/>
  </si>
  <si>
    <t>rjf4bama --- not found</t>
    <phoneticPr fontId="1" type="noConversion"/>
  </si>
  <si>
    <t>huntingman68 --- NOT fd</t>
    <phoneticPr fontId="1" type="noConversion"/>
  </si>
  <si>
    <t>111-8304038-0095447</t>
  </si>
  <si>
    <t>111-6364728-2686651</t>
  </si>
  <si>
    <t>111-0685430-0726623</t>
  </si>
  <si>
    <t>111-9412566-7059442</t>
  </si>
  <si>
    <t>111-8212196-3768201</t>
  </si>
  <si>
    <r>
      <t xml:space="preserve">leiriav-0  --------- PR </t>
    </r>
    <r>
      <rPr>
        <sz val="10"/>
        <color rgb="FFC00000"/>
        <rFont val="Arial Unicode MS"/>
        <family val="2"/>
        <charset val="136"/>
      </rPr>
      <t>Can</t>
    </r>
    <phoneticPr fontId="1" type="noConversion"/>
  </si>
  <si>
    <t>1Z0W37F00366813261</t>
  </si>
  <si>
    <t>111-0165441-0249046</t>
  </si>
  <si>
    <t>111-3505111-2057859</t>
  </si>
  <si>
    <t>quinn860@gmail.com</t>
  </si>
  <si>
    <t>+1 314-378-4903</t>
  </si>
  <si>
    <t>Anthony Sonnier Jr.</t>
  </si>
  <si>
    <t>t-boug2010</t>
  </si>
  <si>
    <t>a.sonnier@yahoo.com</t>
  </si>
  <si>
    <t>+1 337-652-0343</t>
  </si>
  <si>
    <t>Curtain - Old Guitarist</t>
    <phoneticPr fontId="1" type="noConversion"/>
  </si>
  <si>
    <t>Jay Reid</t>
  </si>
  <si>
    <t>jayreid916</t>
  </si>
  <si>
    <t>reid.jay@icloud.com</t>
  </si>
  <si>
    <t>+1 916-501-0765</t>
  </si>
  <si>
    <t>oniel duran</t>
  </si>
  <si>
    <t>dominican_2492</t>
  </si>
  <si>
    <t>ibcyn1974@gmail.com</t>
  </si>
  <si>
    <t>+1 314-330-0249</t>
  </si>
  <si>
    <t>oniel_duran92@hotmail.com</t>
  </si>
  <si>
    <t>+1 646-644-9389</t>
  </si>
  <si>
    <t>merle perkins</t>
  </si>
  <si>
    <t>meper-841</t>
  </si>
  <si>
    <t>Intex Adaptor B</t>
    <phoneticPr fontId="1" type="noConversion"/>
  </si>
  <si>
    <t>photoperkins@gmail.com</t>
  </si>
  <si>
    <t>+1 931-494-7327</t>
  </si>
  <si>
    <t>Jacob Myers</t>
  </si>
  <si>
    <t>marvelier82</t>
  </si>
  <si>
    <t>jadle5340@gmail.com</t>
  </si>
  <si>
    <t>+1 575-513-4558</t>
  </si>
  <si>
    <t>Daniel T. Bobbitt</t>
  </si>
  <si>
    <t>Plano Tote 68 QT</t>
    <phoneticPr fontId="1" type="noConversion"/>
  </si>
  <si>
    <t>busterbrown_beagle</t>
  </si>
  <si>
    <t>abobbitt@verizon.net</t>
  </si>
  <si>
    <t>+1 817-925-0671</t>
  </si>
  <si>
    <t>scott_baker86@yahoo.com</t>
  </si>
  <si>
    <t>+1 405-562-6534</t>
  </si>
  <si>
    <t>Plano Tote 108 Q -- Green</t>
    <phoneticPr fontId="1" type="noConversion"/>
  </si>
  <si>
    <t>noroktrans@gmail.com</t>
  </si>
  <si>
    <t>+1 916-233-5770</t>
  </si>
  <si>
    <t>Return sent</t>
    <phoneticPr fontId="1" type="noConversion"/>
  </si>
  <si>
    <t>#TC1010</t>
  </si>
  <si>
    <t>#TC1011</t>
  </si>
  <si>
    <t>#TC1012</t>
  </si>
  <si>
    <t>#TC1014</t>
  </si>
  <si>
    <t>#TC1013</t>
  </si>
  <si>
    <r>
      <t xml:space="preserve">padjusters702 -- </t>
    </r>
    <r>
      <rPr>
        <sz val="10"/>
        <color rgb="FFC00000"/>
        <rFont val="Arial Unicode MS"/>
        <family val="2"/>
        <charset val="136"/>
      </rPr>
      <t>Cancelled</t>
    </r>
    <phoneticPr fontId="1" type="noConversion"/>
  </si>
  <si>
    <t>goldomueka ---------    PR</t>
    <phoneticPr fontId="1" type="noConversion"/>
  </si>
  <si>
    <t>111-8286128-8946627</t>
  </si>
  <si>
    <t>111-7523493-3993005</t>
  </si>
  <si>
    <t>111-5015300-0867419</t>
  </si>
  <si>
    <t>111-2840110-1640226</t>
  </si>
  <si>
    <t>May 03-06</t>
    <phoneticPr fontId="1" type="noConversion"/>
  </si>
  <si>
    <t>Scott Baker</t>
  </si>
  <si>
    <t>fidlinround</t>
  </si>
  <si>
    <t>111-1352458-4163416</t>
  </si>
  <si>
    <t>May 04</t>
    <phoneticPr fontId="1" type="noConversion"/>
  </si>
  <si>
    <t>111-4847461-3974644</t>
  </si>
  <si>
    <t>May 04-09</t>
    <phoneticPr fontId="1" type="noConversion"/>
  </si>
  <si>
    <t>111-5754957-5475409</t>
  </si>
  <si>
    <t>May 04-08</t>
    <phoneticPr fontId="1" type="noConversion"/>
  </si>
  <si>
    <t>Intex Pump 1000 mph</t>
    <phoneticPr fontId="1" type="noConversion"/>
  </si>
  <si>
    <t>Intex Pump 1500 mph</t>
    <phoneticPr fontId="1" type="noConversion"/>
  </si>
  <si>
    <t>Lilian Henriquez</t>
  </si>
  <si>
    <t>hlil_us_xnrf4mmk8o</t>
  </si>
  <si>
    <t>lili_henriquez@yahoo.com</t>
  </si>
  <si>
    <t>+1 562-896-4107</t>
  </si>
  <si>
    <t>Charlotte Babcock</t>
  </si>
  <si>
    <t>emma30.akire26@gmail.com</t>
  </si>
  <si>
    <t>+1 787-481-1369</t>
  </si>
  <si>
    <t>Erika Irizarry</t>
  </si>
  <si>
    <t>lymaris perez</t>
  </si>
  <si>
    <t>lymaris85@yahoo.com</t>
  </si>
  <si>
    <t>+1 787-697-5245</t>
  </si>
  <si>
    <t>Curtain - Louver Door</t>
    <phoneticPr fontId="1" type="noConversion"/>
  </si>
  <si>
    <t>Deborah Lewis</t>
  </si>
  <si>
    <t>dalproperties@gmail.com</t>
  </si>
  <si>
    <t>+1 714-342-9942</t>
  </si>
  <si>
    <t>Trina morris</t>
  </si>
  <si>
    <t>trmor-5234</t>
  </si>
  <si>
    <t>trinamorris69@gmail.com</t>
  </si>
  <si>
    <t>+1 330-763-3291</t>
  </si>
  <si>
    <t>Curtain - Sunset</t>
    <phoneticPr fontId="1" type="noConversion"/>
  </si>
  <si>
    <t>Intex 10727 Stopper</t>
    <phoneticPr fontId="1" type="noConversion"/>
  </si>
  <si>
    <t>Valorie Lowe</t>
  </si>
  <si>
    <t>valorilow-0</t>
  </si>
  <si>
    <t>valorielowe72@gmail.com</t>
  </si>
  <si>
    <t>+1 931-634-7120</t>
  </si>
  <si>
    <t>Tommy Burress</t>
  </si>
  <si>
    <t>thomasburress10@gmail.com</t>
  </si>
  <si>
    <t>+1 928-600-5366</t>
  </si>
  <si>
    <t>Shaun Billingsley</t>
  </si>
  <si>
    <t>shaunkong</t>
  </si>
  <si>
    <t>kingshaunkong@gmail.com</t>
  </si>
  <si>
    <t>+1 916-877-0212</t>
  </si>
  <si>
    <t>Grace Pacheco Delgado</t>
  </si>
  <si>
    <t>pachecograce568@yahoo.com</t>
  </si>
  <si>
    <t>+1 787-218-8605</t>
  </si>
  <si>
    <t>Curtain - Wooden Door</t>
    <phoneticPr fontId="1" type="noConversion"/>
  </si>
  <si>
    <t>noelnieves49@gmail.com</t>
  </si>
  <si>
    <t>+1 787-619-9916</t>
  </si>
  <si>
    <t>anise marquez</t>
  </si>
  <si>
    <t>anismarque-0</t>
  </si>
  <si>
    <t>anisemarquezgonzalez7@gmail.com</t>
  </si>
  <si>
    <t>+1 786-506-5202</t>
  </si>
  <si>
    <t>james madrid Rios</t>
  </si>
  <si>
    <t>jamesri-76</t>
  </si>
  <si>
    <t>riosjamesm20@gmail.com</t>
  </si>
  <si>
    <t>+1 928-446-6363</t>
  </si>
  <si>
    <t>Bret Fischer</t>
  </si>
  <si>
    <t>mira_card</t>
  </si>
  <si>
    <t>ciscofreshmen4ever@yahoo.com</t>
  </si>
  <si>
    <t>+1 325-660-9678</t>
  </si>
  <si>
    <t>adrielayala@hotmail.com</t>
  </si>
  <si>
    <t>+1 210-244-3883</t>
  </si>
  <si>
    <t>Adriel - Ayala</t>
  </si>
  <si>
    <t>wallynelly</t>
  </si>
  <si>
    <t>mariangely rodriguez</t>
  </si>
  <si>
    <t>acost-7888</t>
  </si>
  <si>
    <t>acostamr10@gmail.com</t>
  </si>
  <si>
    <t>+1 479-453-6290</t>
  </si>
  <si>
    <t>Expected May04</t>
    <phoneticPr fontId="1" type="noConversion"/>
  </si>
  <si>
    <t>111-4333359-8839459</t>
  </si>
  <si>
    <t>May10</t>
    <phoneticPr fontId="1" type="noConversion"/>
  </si>
  <si>
    <t>1Z9R82E00271928136</t>
  </si>
  <si>
    <t>1Z9R82E00271928056</t>
  </si>
  <si>
    <t>May05-08</t>
    <phoneticPr fontId="1" type="noConversion"/>
  </si>
  <si>
    <t>TBA021995512401</t>
  </si>
  <si>
    <t>AZ</t>
    <phoneticPr fontId="1" type="noConversion"/>
  </si>
  <si>
    <t>1Z0W37W31339197690</t>
  </si>
  <si>
    <t>9361289679090689975205</t>
    <phoneticPr fontId="1" type="noConversion"/>
  </si>
  <si>
    <t>177035750930​</t>
    <phoneticPr fontId="1" type="noConversion"/>
  </si>
  <si>
    <r>
      <t xml:space="preserve">kebur-9832 ---- </t>
    </r>
    <r>
      <rPr>
        <sz val="10"/>
        <color rgb="FFC00000"/>
        <rFont val="Arial Unicode MS"/>
        <family val="2"/>
        <charset val="136"/>
      </rPr>
      <t>Can</t>
    </r>
    <r>
      <rPr>
        <sz val="10"/>
        <color theme="1"/>
        <rFont val="Arial Unicode MS"/>
        <family val="2"/>
        <charset val="136"/>
      </rPr>
      <t xml:space="preserve"> Chg</t>
    </r>
    <phoneticPr fontId="1" type="noConversion"/>
  </si>
  <si>
    <t>8013670638107949</t>
    <phoneticPr fontId="1" type="noConversion"/>
  </si>
  <si>
    <t>Jun02</t>
    <phoneticPr fontId="1" type="noConversion"/>
  </si>
  <si>
    <t>111-4172697-4199467</t>
  </si>
  <si>
    <t>May07-11</t>
    <phoneticPr fontId="1" type="noConversion"/>
  </si>
  <si>
    <t>Great Price Fast Service</t>
  </si>
  <si>
    <t>111-0435916-0721840</t>
  </si>
  <si>
    <t>111-3936303-9875423</t>
  </si>
  <si>
    <t>111-9784563-4599407</t>
  </si>
  <si>
    <t>May05-13</t>
    <phoneticPr fontId="1" type="noConversion"/>
  </si>
  <si>
    <t>111-4162708-0395432</t>
  </si>
  <si>
    <t>May14</t>
    <phoneticPr fontId="1" type="noConversion"/>
  </si>
  <si>
    <t>Click To Shop Toys</t>
  </si>
  <si>
    <t>111-4753166-7477847</t>
  </si>
  <si>
    <t>Refunded Hawaii</t>
    <phoneticPr fontId="1" type="noConversion"/>
  </si>
  <si>
    <t>8013459405467949</t>
    <phoneticPr fontId="1" type="noConversion"/>
  </si>
  <si>
    <t>David Magical Store</t>
  </si>
  <si>
    <t>LY222240153CN</t>
  </si>
  <si>
    <t>AlSTD</t>
    <phoneticPr fontId="1" type="noConversion"/>
  </si>
  <si>
    <t>UPS</t>
    <phoneticPr fontId="1" type="noConversion"/>
  </si>
  <si>
    <t>USPS</t>
    <phoneticPr fontId="1" type="noConversion"/>
  </si>
  <si>
    <t>AZ</t>
    <phoneticPr fontId="1" type="noConversion"/>
  </si>
  <si>
    <t>Fedex</t>
    <phoneticPr fontId="1" type="noConversion"/>
  </si>
  <si>
    <t>111-9610595-8256223</t>
  </si>
  <si>
    <t>QBQS</t>
    <phoneticPr fontId="1" type="noConversion"/>
  </si>
  <si>
    <t>111-6632478-2745062</t>
  </si>
  <si>
    <t>111-2494518-9130612</t>
  </si>
  <si>
    <t>111-1480627-2634603</t>
  </si>
  <si>
    <t>Cancelled</t>
    <phoneticPr fontId="1" type="noConversion"/>
  </si>
  <si>
    <t>111-5196616-8505026</t>
  </si>
  <si>
    <t>111-0374385-3054651</t>
  </si>
  <si>
    <t>prdani_17iekqm   ----- PR</t>
    <phoneticPr fontId="1" type="noConversion"/>
  </si>
  <si>
    <t>111-5304150-9936267</t>
  </si>
  <si>
    <t>May28</t>
    <phoneticPr fontId="1" type="noConversion"/>
  </si>
  <si>
    <t>9400116901628797922168</t>
    <phoneticPr fontId="1" type="noConversion"/>
  </si>
  <si>
    <t>9205590213423705874235</t>
    <phoneticPr fontId="1" type="noConversion"/>
  </si>
  <si>
    <t>1ZF952400317133047</t>
  </si>
  <si>
    <t>1ZF952400317133154</t>
  </si>
  <si>
    <t>ZF952400317120702</t>
  </si>
  <si>
    <t>raquile-11 --------------- PR</t>
    <phoneticPr fontId="1" type="noConversion"/>
  </si>
  <si>
    <t>111-6960236-2209830</t>
  </si>
  <si>
    <t>May28</t>
    <phoneticPr fontId="1" type="noConversion"/>
  </si>
  <si>
    <t>Taralee fleming</t>
  </si>
  <si>
    <t>tara.flem</t>
  </si>
  <si>
    <t>teelee3557@gmail.com</t>
  </si>
  <si>
    <t>+1 631-827-8053</t>
  </si>
  <si>
    <t>cindyvazquez367@yahoo.com</t>
  </si>
  <si>
    <t>+1 787-318-2184</t>
  </si>
  <si>
    <t>TBA022550030401</t>
  </si>
  <si>
    <t>9361289676091139302650</t>
    <phoneticPr fontId="1" type="noConversion"/>
  </si>
  <si>
    <t>May04</t>
    <phoneticPr fontId="1" type="noConversion"/>
  </si>
  <si>
    <t>Jose Colon</t>
  </si>
  <si>
    <t>josedaniel1210@gmail.com</t>
  </si>
  <si>
    <t>+1 787-688-4487</t>
  </si>
  <si>
    <t>Kenneth Agudong</t>
  </si>
  <si>
    <t>kenny@alohaisland.com</t>
  </si>
  <si>
    <t>+1 808-639-6554</t>
  </si>
  <si>
    <t>Glendaliz Reyes</t>
  </si>
  <si>
    <t>glendalreyes@outlook.com</t>
  </si>
  <si>
    <t>+1 787-446-2932</t>
  </si>
  <si>
    <t>Plano Tote 56 QT -- Green</t>
    <phoneticPr fontId="1" type="noConversion"/>
  </si>
  <si>
    <t>Plano Tote 108 QT -- Black</t>
    <phoneticPr fontId="1" type="noConversion"/>
  </si>
  <si>
    <t>Plano Tote 68 QT -- Black</t>
    <phoneticPr fontId="1" type="noConversion"/>
  </si>
  <si>
    <t>Robert Kelley Jr</t>
  </si>
  <si>
    <t>platinumautoparts77</t>
  </si>
  <si>
    <t>platinumautoparts@aol.com</t>
  </si>
  <si>
    <t>+1 417-849-9600</t>
  </si>
  <si>
    <t>111-3276392-7227406</t>
  </si>
  <si>
    <t>May08</t>
    <phoneticPr fontId="1" type="noConversion"/>
  </si>
  <si>
    <t>1Z4R76440268328748</t>
    <phoneticPr fontId="1" type="noConversion"/>
  </si>
  <si>
    <t>TBA022184523701</t>
  </si>
  <si>
    <t>Trk May03</t>
    <phoneticPr fontId="1" type="noConversion"/>
  </si>
  <si>
    <t>Updated May03</t>
    <phoneticPr fontId="1" type="noConversion"/>
  </si>
  <si>
    <t>9361289688090940617064</t>
    <phoneticPr fontId="1" type="noConversion"/>
  </si>
  <si>
    <t>May25</t>
    <phoneticPr fontId="1" type="noConversion"/>
  </si>
  <si>
    <t>1Z91V56Y0206724972</t>
  </si>
  <si>
    <t>Lori Marrs</t>
  </si>
  <si>
    <t>lmarrs123</t>
  </si>
  <si>
    <t>lori.marrs@gmail.com</t>
  </si>
  <si>
    <t>+1 253-802-6690</t>
  </si>
  <si>
    <t>******* **</t>
    <phoneticPr fontId="1" type="noConversion"/>
  </si>
  <si>
    <t>111-7015343-2817049</t>
  </si>
  <si>
    <t>May09</t>
    <phoneticPr fontId="1" type="noConversion"/>
  </si>
  <si>
    <t>May27</t>
    <phoneticPr fontId="1" type="noConversion"/>
  </si>
  <si>
    <t>nilnima_me9ahtq  ----- PR</t>
    <phoneticPr fontId="1" type="noConversion"/>
  </si>
  <si>
    <t>May08</t>
    <phoneticPr fontId="1" type="noConversion"/>
  </si>
  <si>
    <t>Génesis Reyes_x0007_Galarza</t>
  </si>
  <si>
    <t>daniel rosario</t>
  </si>
  <si>
    <t>Vanessa Santiago</t>
  </si>
  <si>
    <t>paul whelen</t>
  </si>
  <si>
    <t>pauwhele-042</t>
  </si>
  <si>
    <t>Felix Gonzalez</t>
  </si>
  <si>
    <t>Carlos Zapata</t>
  </si>
  <si>
    <t>Devin dufrene</t>
  </si>
  <si>
    <t>dufrdevi</t>
  </si>
  <si>
    <t>phillip humphrey</t>
  </si>
  <si>
    <t>Fernando Rivera</t>
  </si>
  <si>
    <t>Jaythony Mercado</t>
  </si>
  <si>
    <t>greyesgalarza@gmail.com</t>
  </si>
  <si>
    <t>+1 939-254-8773</t>
  </si>
  <si>
    <t>paullalani@hotmail.com</t>
  </si>
  <si>
    <t>+1 406-439-2683</t>
  </si>
  <si>
    <t>odette44@hotmail.com</t>
  </si>
  <si>
    <t>+1 787-327-8583</t>
  </si>
  <si>
    <t>rosardx@yahoo.com</t>
  </si>
  <si>
    <t>+1 787-240-1693</t>
  </si>
  <si>
    <t>felix_0148@hotmail.com</t>
  </si>
  <si>
    <t>+1 787-312-8161</t>
  </si>
  <si>
    <t>czapata825@gmail.com</t>
  </si>
  <si>
    <t>+1 939-400-2201</t>
  </si>
  <si>
    <t>devindufrene140@yahoo.com</t>
  </si>
  <si>
    <t>+1 985-981-7846</t>
  </si>
  <si>
    <t>rachelvphillips13@gmail.com</t>
  </si>
  <si>
    <t>+1 423-530-4919</t>
  </si>
  <si>
    <t>pwh31@txstate.edu</t>
  </si>
  <si>
    <t>+1 561-602-0887</t>
  </si>
  <si>
    <t>cmp_45@yahoo.com</t>
  </si>
  <si>
    <t>+1 787-246-6872</t>
  </si>
  <si>
    <t>fernan0469@yahoo.com</t>
  </si>
  <si>
    <t>+1 787-246-8297</t>
  </si>
  <si>
    <t>jereyesnieves@gmail.com</t>
  </si>
  <si>
    <t>+1 787-362-0017</t>
  </si>
  <si>
    <t>jayb3_23@hotmail.com</t>
  </si>
  <si>
    <t>+1 787-392-7936</t>
  </si>
  <si>
    <t>Jessica</t>
  </si>
  <si>
    <t>Jose RIvera</t>
  </si>
  <si>
    <t>josean.rivera5@gmail.com</t>
  </si>
  <si>
    <t>+1 787-596-8917</t>
  </si>
  <si>
    <t>Janieli Carrasquillo Davila</t>
  </si>
  <si>
    <t>Juan Sanabria</t>
  </si>
  <si>
    <t>michael b ZACHMANN</t>
  </si>
  <si>
    <t>mikebambam</t>
  </si>
  <si>
    <t>mikebambam2@gmail.com</t>
  </si>
  <si>
    <t>+1 239-246-6958</t>
  </si>
  <si>
    <t>jsanabria@live.com</t>
  </si>
  <si>
    <t>+1 939-642-2611</t>
  </si>
  <si>
    <t>irmacartagena63@gmail.com</t>
  </si>
  <si>
    <t>+1 787-702-9144</t>
  </si>
  <si>
    <t>Doreen Lymaster</t>
  </si>
  <si>
    <t>dorlyma-0</t>
  </si>
  <si>
    <t>reenielymaster@yahoo.com</t>
  </si>
  <si>
    <t>+1 570-617-3407</t>
  </si>
  <si>
    <t>bridgettelightsey@yahoo.com</t>
  </si>
  <si>
    <t>+1 912-278-3827</t>
  </si>
  <si>
    <t>Yehira Sanchez</t>
  </si>
  <si>
    <t>yehiradsxy@gmail.com</t>
  </si>
  <si>
    <t>+1 787-718-1559</t>
  </si>
  <si>
    <t>janieli.carrasquillo@upr.edu</t>
  </si>
  <si>
    <t>+1 939-261-3731</t>
  </si>
  <si>
    <t>Brian Scully</t>
  </si>
  <si>
    <t>hotcop927</t>
  </si>
  <si>
    <t>skullbri211@gmail.com</t>
  </si>
  <si>
    <t>+1 919-770-8881</t>
  </si>
  <si>
    <t>1Z05R2R60379926980</t>
  </si>
  <si>
    <t>#TC1015</t>
  </si>
  <si>
    <t>1Z05R2R60379919738</t>
  </si>
  <si>
    <t>cuong hoang</t>
  </si>
  <si>
    <t>tchoang12@yahoo.com</t>
  </si>
  <si>
    <t>+1 210-473-1918</t>
  </si>
  <si>
    <t>Jesse Heinecke</t>
  </si>
  <si>
    <t>foolonzhill</t>
  </si>
  <si>
    <t>jessejames78@gmail.com</t>
  </si>
  <si>
    <t>+1 509-280-5860</t>
  </si>
  <si>
    <t>Pedro Roman</t>
  </si>
  <si>
    <t>JuanLuis Zavaleta</t>
  </si>
  <si>
    <t>juanzava-20</t>
  </si>
  <si>
    <t>zavaletaj326@gmail.com</t>
  </si>
  <si>
    <t>+1 903-331-3024</t>
  </si>
  <si>
    <t>misterio75@msn.com</t>
  </si>
  <si>
    <t>+1 407-722-4432</t>
  </si>
  <si>
    <t>1Z6A240TYN04226726</t>
  </si>
  <si>
    <t>178800636867</t>
    <phoneticPr fontId="1" type="noConversion"/>
  </si>
  <si>
    <t>178800636856</t>
    <phoneticPr fontId="1" type="noConversion"/>
  </si>
  <si>
    <t>gutterbrothersinc</t>
  </si>
  <si>
    <t>Brian DeHart</t>
  </si>
  <si>
    <t>krchambers-2007</t>
  </si>
  <si>
    <t>Kenneth Chambers</t>
  </si>
  <si>
    <t>US Weight 20 lb</t>
    <phoneticPr fontId="1" type="noConversion"/>
  </si>
  <si>
    <t>philus-5dzni5</t>
  </si>
  <si>
    <t>brandon phillips</t>
  </si>
  <si>
    <t>maried vargas</t>
  </si>
  <si>
    <t>9374889706090867885585</t>
    <phoneticPr fontId="1" type="noConversion"/>
  </si>
  <si>
    <t>TBA024200485701</t>
  </si>
  <si>
    <t>TBA023657131101</t>
  </si>
  <si>
    <r>
      <t xml:space="preserve">****hc --- </t>
    </r>
    <r>
      <rPr>
        <sz val="10"/>
        <color theme="9"/>
        <rFont val="Arial Unicode MS"/>
        <family val="2"/>
        <charset val="136"/>
      </rPr>
      <t>NOT FOUND</t>
    </r>
    <phoneticPr fontId="1" type="noConversion"/>
  </si>
  <si>
    <t>TBA024140707301</t>
  </si>
  <si>
    <t>9361289670090543540906</t>
    <phoneticPr fontId="1" type="noConversion"/>
  </si>
  <si>
    <t>111-4214661-7429010</t>
  </si>
  <si>
    <t>CAT2</t>
    <phoneticPr fontId="1" type="noConversion"/>
  </si>
  <si>
    <t>May07</t>
    <phoneticPr fontId="1" type="noConversion"/>
  </si>
  <si>
    <t>111-4098803-2066609</t>
  </si>
  <si>
    <t>Jun01</t>
    <phoneticPr fontId="1" type="noConversion"/>
  </si>
  <si>
    <t>111-2647950-1324264</t>
  </si>
  <si>
    <t>Curtain - Jolly Roger</t>
    <phoneticPr fontId="1" type="noConversion"/>
  </si>
  <si>
    <t>111-0044750-4685878</t>
  </si>
  <si>
    <t>brandonphillips8847@gmail.com</t>
  </si>
  <si>
    <t>+1 512-359-0084</t>
  </si>
  <si>
    <t>briandehart73@gmail.com</t>
  </si>
  <si>
    <t>+1 610-247-3307</t>
  </si>
  <si>
    <t>henry.flores40@hotmail.com</t>
  </si>
  <si>
    <t>+1 925-204-0414</t>
  </si>
  <si>
    <t>+1 787-529-4084</t>
  </si>
  <si>
    <t>mariedv@hotmail.com</t>
  </si>
  <si>
    <t>mariedv007 ------------- PR</t>
    <phoneticPr fontId="1" type="noConversion"/>
  </si>
  <si>
    <t>joscolo-99 ----------- PR</t>
    <phoneticPr fontId="1" type="noConversion"/>
  </si>
  <si>
    <t>chambers5000@bellsouth.net</t>
  </si>
  <si>
    <t>+1 770-775-0925</t>
  </si>
  <si>
    <t>adyol33@gmail.com</t>
  </si>
  <si>
    <t>andasanjoe1@gmail.com</t>
  </si>
  <si>
    <t>+1 808-979-5257</t>
  </si>
  <si>
    <t>Joey Oandasan</t>
  </si>
  <si>
    <t>andas8984</t>
  </si>
  <si>
    <t>israel velazquez</t>
  </si>
  <si>
    <t>raliyo1@yahoo.com</t>
  </si>
  <si>
    <t>+1 787-426-2349</t>
  </si>
  <si>
    <t>nukmedtek9093</t>
  </si>
  <si>
    <t>jonathan witty</t>
  </si>
  <si>
    <t>nukmedtek909@gmail.com</t>
  </si>
  <si>
    <t>+1 951-567-9590</t>
  </si>
  <si>
    <t>gonzalezglendalie@gmail.com</t>
  </si>
  <si>
    <t>+1 787-460-3092</t>
  </si>
  <si>
    <t>H</t>
    <phoneticPr fontId="1" type="noConversion"/>
  </si>
  <si>
    <t>tc22006</t>
  </si>
  <si>
    <t>odette44-8 --      ----- PR</t>
    <phoneticPr fontId="1" type="noConversion"/>
  </si>
  <si>
    <t>111-4501899-1169833</t>
  </si>
  <si>
    <t>May11-13</t>
    <phoneticPr fontId="1" type="noConversion"/>
  </si>
  <si>
    <t>111-0101382-3204223</t>
  </si>
  <si>
    <t>111-6236374-3579400</t>
  </si>
  <si>
    <t>1Z4R76440368751743</t>
    <phoneticPr fontId="1" type="noConversion"/>
  </si>
  <si>
    <t>May11</t>
    <phoneticPr fontId="1" type="noConversion"/>
  </si>
  <si>
    <t>111-9188239-9727410</t>
  </si>
  <si>
    <t>RC09</t>
    <phoneticPr fontId="1" type="noConversion"/>
  </si>
  <si>
    <t>Leo K Garcia</t>
  </si>
  <si>
    <t>sweetdreamcatcher@centurylink.net</t>
  </si>
  <si>
    <t>+1 505-795-3140</t>
  </si>
  <si>
    <t>1Z83WV060321648815</t>
  </si>
  <si>
    <t>luis campos</t>
  </si>
  <si>
    <t>luiskamps5482</t>
  </si>
  <si>
    <t>111-2973532-8498667</t>
  </si>
  <si>
    <t>May12</t>
    <phoneticPr fontId="1" type="noConversion"/>
  </si>
  <si>
    <t>campos.kike96@yahoo.com</t>
  </si>
  <si>
    <t>+1 909-666-3143</t>
  </si>
  <si>
    <t>cjwhite3-2009</t>
  </si>
  <si>
    <t>Carl White</t>
  </si>
  <si>
    <t>leniegarci_0</t>
  </si>
  <si>
    <t>lenier garcia</t>
  </si>
  <si>
    <t>carljwhite3@gmail.com</t>
  </si>
  <si>
    <t>+1 256-520-8200</t>
  </si>
  <si>
    <t>garcialenier@gmail.com</t>
  </si>
  <si>
    <t>+1 904-580-2449</t>
  </si>
  <si>
    <t>111-8895179-1486638</t>
  </si>
  <si>
    <t>111-7301295-5201855</t>
  </si>
  <si>
    <t>leonasla64</t>
  </si>
  <si>
    <t>Leonidas Aslanidis</t>
  </si>
  <si>
    <t>leoaslanidis@gmail.com</t>
  </si>
  <si>
    <t>+30 697 409 8041</t>
  </si>
  <si>
    <t>isaiah-9020</t>
  </si>
  <si>
    <t>Larry Hines</t>
  </si>
  <si>
    <t>isaiah101418@gmail.com</t>
  </si>
  <si>
    <t>+1 910-225-3756</t>
  </si>
  <si>
    <t>cbabcock2005us  -- Chase</t>
    <phoneticPr fontId="1" type="noConversion"/>
  </si>
  <si>
    <t>valvfeli</t>
  </si>
  <si>
    <t>felipe valverde</t>
  </si>
  <si>
    <t>felipevalverdelv@gmail.com</t>
  </si>
  <si>
    <t>+1 702-580-7749</t>
  </si>
  <si>
    <t>realkalandobrown1</t>
  </si>
  <si>
    <t>Kalando K Brown</t>
  </si>
  <si>
    <t>realkalandobrown@gmail.com</t>
  </si>
  <si>
    <t>+1 631-205-4975</t>
  </si>
  <si>
    <t>EPS V-9025</t>
  </si>
  <si>
    <t>lbatistas</t>
  </si>
  <si>
    <t>rubia_37@hotmail.com</t>
  </si>
  <si>
    <t>+1 809-438-9018</t>
  </si>
  <si>
    <t>MaxQTY Can</t>
    <phoneticPr fontId="1" type="noConversion"/>
  </si>
  <si>
    <t>111-2261665-0135445</t>
  </si>
  <si>
    <t>TBA024768550001</t>
  </si>
  <si>
    <t>mdrr98</t>
  </si>
  <si>
    <t>Michael Runin</t>
  </si>
  <si>
    <t>9405511899223729708090</t>
    <phoneticPr fontId="1" type="noConversion"/>
  </si>
  <si>
    <t>392511299126</t>
    <phoneticPr fontId="1" type="noConversion"/>
  </si>
  <si>
    <t>392511299424</t>
    <phoneticPr fontId="1" type="noConversion"/>
  </si>
  <si>
    <t>mdrrealty@gmail.com</t>
  </si>
  <si>
    <t>+1 347-200-3498</t>
  </si>
  <si>
    <t>9361289682090970109139</t>
    <phoneticPr fontId="1" type="noConversion"/>
  </si>
  <si>
    <t>1Z05R2R60379966311</t>
    <phoneticPr fontId="1" type="noConversion"/>
  </si>
  <si>
    <t>111-4324175-1416210</t>
  </si>
  <si>
    <t>kaylijon  --------------- HI</t>
    <phoneticPr fontId="1" type="noConversion"/>
  </si>
  <si>
    <t>111-6563691-8811459</t>
  </si>
  <si>
    <t>Mah15</t>
    <phoneticPr fontId="1" type="noConversion"/>
  </si>
  <si>
    <t>111-6060111-4325823</t>
  </si>
  <si>
    <t>May13-15</t>
    <phoneticPr fontId="1" type="noConversion"/>
  </si>
  <si>
    <t>ITSPS</t>
    <phoneticPr fontId="1" type="noConversion"/>
  </si>
  <si>
    <t>111-4497522-2293869</t>
  </si>
  <si>
    <t>May12-14</t>
    <phoneticPr fontId="1" type="noConversion"/>
  </si>
  <si>
    <t>111-8542823-9094610</t>
  </si>
  <si>
    <t xml:space="preserve">111-9682309-9146659 </t>
    <phoneticPr fontId="1" type="noConversion"/>
  </si>
  <si>
    <t>ibcyn19749</t>
  </si>
  <si>
    <t>Cynthia Koch</t>
  </si>
  <si>
    <t>111-9789705-4400249</t>
  </si>
  <si>
    <t>111-8334589-3401019</t>
  </si>
  <si>
    <t>111-7353955-2558636</t>
  </si>
  <si>
    <t>May12-15</t>
    <phoneticPr fontId="1" type="noConversion"/>
  </si>
  <si>
    <t>111-5608192-3745828</t>
  </si>
  <si>
    <t>Plano Tote 68 QT -- Black</t>
    <phoneticPr fontId="1" type="noConversion"/>
  </si>
  <si>
    <t>alpe_9771</t>
  </si>
  <si>
    <t>Alex Perea</t>
  </si>
  <si>
    <t>aperea1015@gmail.com</t>
  </si>
  <si>
    <t>+1 323-303-9168</t>
  </si>
  <si>
    <t>dk8646322  - chg</t>
    <phoneticPr fontId="1" type="noConversion"/>
  </si>
  <si>
    <t>111-1109455-2574609</t>
  </si>
  <si>
    <t>May13-18</t>
    <phoneticPr fontId="1" type="noConversion"/>
  </si>
  <si>
    <t>STL PRO, Inc.</t>
  </si>
  <si>
    <t>mojcak --- Refunded chg</t>
    <phoneticPr fontId="1" type="noConversion"/>
  </si>
  <si>
    <t>8013647681077949</t>
    <phoneticPr fontId="1" type="noConversion"/>
  </si>
  <si>
    <t>David Magical Store</t>
    <phoneticPr fontId="1" type="noConversion"/>
  </si>
  <si>
    <t>Jun08</t>
    <phoneticPr fontId="1" type="noConversion"/>
  </si>
  <si>
    <t>Altovise Tanner</t>
  </si>
  <si>
    <t>altotan0</t>
  </si>
  <si>
    <t>snoodie39@gmail.com</t>
  </si>
  <si>
    <t>+1 904-600-1117</t>
  </si>
  <si>
    <t>392553190534</t>
    <phoneticPr fontId="1" type="noConversion"/>
  </si>
  <si>
    <t>111-0206372-0942654</t>
  </si>
  <si>
    <t>111-0100667-1459468</t>
  </si>
  <si>
    <t>May12-15</t>
    <phoneticPr fontId="1" type="noConversion"/>
  </si>
  <si>
    <t>111-2093436-7437062</t>
  </si>
  <si>
    <t>9361289706090867404025</t>
    <phoneticPr fontId="1" type="noConversion"/>
  </si>
  <si>
    <t>Mat04</t>
    <phoneticPr fontId="1" type="noConversion"/>
  </si>
  <si>
    <t>111-9926711-5947405</t>
    <phoneticPr fontId="1" type="noConversion"/>
  </si>
  <si>
    <t xml:space="preserve">CAT </t>
    <phoneticPr fontId="1" type="noConversion"/>
  </si>
  <si>
    <t>1Z0653FEYW16888223</t>
    <phoneticPr fontId="1" type="noConversion"/>
  </si>
  <si>
    <t>carlozapat-25  -------- PR</t>
    <phoneticPr fontId="1" type="noConversion"/>
  </si>
  <si>
    <t>111-7988876-3102632</t>
  </si>
  <si>
    <t>TBA025615035301</t>
  </si>
  <si>
    <t>jaytmer_0  -------------- PR</t>
    <phoneticPr fontId="1" type="noConversion"/>
  </si>
  <si>
    <t>Intex Skimmer</t>
    <phoneticPr fontId="1" type="noConversion"/>
  </si>
  <si>
    <t>kristinbacha-0</t>
  </si>
  <si>
    <t>kristine bachar</t>
  </si>
  <si>
    <t>cabr_osla</t>
  </si>
  <si>
    <t>oslay cabrales</t>
  </si>
  <si>
    <t>Emy Perez</t>
  </si>
  <si>
    <t>rucl-4886</t>
  </si>
  <si>
    <t>ruby cline</t>
  </si>
  <si>
    <t>esicasi-36</t>
  </si>
  <si>
    <t>esiquio casillas</t>
  </si>
  <si>
    <t>rubencastrobrito</t>
  </si>
  <si>
    <t>ruben david castro brito</t>
  </si>
  <si>
    <r>
      <t xml:space="preserve">emma30.91  PR - </t>
    </r>
    <r>
      <rPr>
        <b/>
        <sz val="10"/>
        <color rgb="FFFF0000"/>
        <rFont val="Arial Unicode MS"/>
        <family val="2"/>
        <charset val="136"/>
      </rPr>
      <t>Cancelled</t>
    </r>
    <phoneticPr fontId="1" type="noConversion"/>
  </si>
  <si>
    <t>mitaivoaka ------------- PR</t>
    <phoneticPr fontId="1" type="noConversion"/>
  </si>
  <si>
    <t>111-4838610-7777012</t>
  </si>
  <si>
    <t>392563524649</t>
    <phoneticPr fontId="1" type="noConversion"/>
  </si>
  <si>
    <t>111-4193482-7836209</t>
  </si>
  <si>
    <t xml:space="preserve">Great Price Fast Service </t>
  </si>
  <si>
    <t>May13-15</t>
    <phoneticPr fontId="1" type="noConversion"/>
  </si>
  <si>
    <t>H</t>
    <phoneticPr fontId="1" type="noConversion"/>
  </si>
  <si>
    <t>111-5237160-3529031</t>
  </si>
  <si>
    <t>8013669702807949</t>
    <phoneticPr fontId="1" type="noConversion"/>
  </si>
  <si>
    <r>
      <t> </t>
    </r>
    <r>
      <rPr>
        <sz val="9"/>
        <color rgb="FF333333"/>
        <rFont val="Arial"/>
        <family val="2"/>
      </rPr>
      <t>leeduoduo connector Store</t>
    </r>
  </si>
  <si>
    <t>Jun08</t>
    <phoneticPr fontId="1" type="noConversion"/>
  </si>
  <si>
    <t>May06 Ord</t>
    <phoneticPr fontId="1" type="noConversion"/>
  </si>
  <si>
    <t>111-1612322-6085036</t>
  </si>
  <si>
    <t>111-3943603-8891426</t>
  </si>
  <si>
    <t>Jun03</t>
    <phoneticPr fontId="1" type="noConversion"/>
  </si>
  <si>
    <t>111-6255803-3396247</t>
  </si>
  <si>
    <t>MyQuickBuy</t>
    <phoneticPr fontId="1" type="noConversion"/>
  </si>
  <si>
    <t>1Z05R2R60280017005</t>
  </si>
  <si>
    <t>YOMALIS PAGAN</t>
  </si>
  <si>
    <t>9374889702090570198969</t>
    <phoneticPr fontId="1" type="noConversion"/>
  </si>
  <si>
    <t>Daniel Alejandro Ocasio</t>
    <phoneticPr fontId="1" type="noConversion"/>
  </si>
  <si>
    <t>krissjackso9</t>
  </si>
  <si>
    <t>gspyc_ifzuofp7pj</t>
    <phoneticPr fontId="1" type="noConversion"/>
  </si>
  <si>
    <t>TBA026235230901</t>
  </si>
  <si>
    <t>180575214416</t>
    <phoneticPr fontId="1" type="noConversion"/>
  </si>
  <si>
    <t>180575214390</t>
    <phoneticPr fontId="1" type="noConversion"/>
  </si>
  <si>
    <t>180575214380</t>
    <phoneticPr fontId="1" type="noConversion"/>
  </si>
  <si>
    <t>180575214405</t>
    <phoneticPr fontId="1" type="noConversion"/>
  </si>
  <si>
    <t>180575214427</t>
    <phoneticPr fontId="1" type="noConversion"/>
  </si>
  <si>
    <t>180575214438</t>
    <phoneticPr fontId="1" type="noConversion"/>
  </si>
  <si>
    <t>+1 315-489-3708</t>
  </si>
  <si>
    <t>cbabcock2005@gmail.com</t>
  </si>
  <si>
    <r>
      <t>grac_delga -</t>
    </r>
    <r>
      <rPr>
        <sz val="10"/>
        <color rgb="FFFF0000"/>
        <rFont val="Arial Unicode MS"/>
        <family val="2"/>
        <charset val="136"/>
      </rPr>
      <t>Refunded PR</t>
    </r>
    <phoneticPr fontId="1" type="noConversion"/>
  </si>
  <si>
    <t>noel mcconchie</t>
    <phoneticPr fontId="1" type="noConversion"/>
  </si>
  <si>
    <t>111-6024395-3901847</t>
  </si>
  <si>
    <t>111-6009750-3039467</t>
  </si>
  <si>
    <t>junior vera</t>
  </si>
  <si>
    <t>crybri-16</t>
  </si>
  <si>
    <t>Crystal Bridges</t>
  </si>
  <si>
    <t>Plano Tote - 68 QT</t>
    <phoneticPr fontId="1" type="noConversion"/>
  </si>
  <si>
    <t>zesp4420</t>
  </si>
  <si>
    <t>Curtain - Café</t>
    <phoneticPr fontId="1" type="noConversion"/>
  </si>
  <si>
    <t>cjbridges81@gmail.com</t>
  </si>
  <si>
    <t>+1 256-717-7211</t>
  </si>
  <si>
    <t>junito833@gmail.com</t>
  </si>
  <si>
    <t>+1 787-614-8704</t>
  </si>
  <si>
    <t>krissyjackson5@yahoo.com</t>
  </si>
  <si>
    <t>+1 603-731-9055</t>
  </si>
  <si>
    <t>arklaw6</t>
  </si>
  <si>
    <t>Chris Stewart</t>
  </si>
  <si>
    <t>buyitnow00807</t>
  </si>
  <si>
    <t>karen karpanty</t>
  </si>
  <si>
    <t>kklapenta@hotmail.com</t>
  </si>
  <si>
    <t>+1 201-214-2559</t>
  </si>
  <si>
    <t>arklaw@comcast.net</t>
  </si>
  <si>
    <t>+1 501-837-7155</t>
  </si>
  <si>
    <t>392596472021</t>
    <phoneticPr fontId="1" type="noConversion"/>
  </si>
  <si>
    <t>9405511899223723600017</t>
    <phoneticPr fontId="1" type="noConversion"/>
  </si>
  <si>
    <t>Christian Rodriguez</t>
  </si>
  <si>
    <t xml:space="preserve">9361289677090448734410
</t>
    <phoneticPr fontId="1" type="noConversion"/>
  </si>
  <si>
    <t>9374889695090550145250</t>
    <phoneticPr fontId="1" type="noConversion"/>
  </si>
  <si>
    <r>
      <t>thom.burr--</t>
    </r>
    <r>
      <rPr>
        <sz val="10"/>
        <color rgb="FFC00000"/>
        <rFont val="Arial Unicode MS"/>
        <family val="2"/>
        <charset val="136"/>
      </rPr>
      <t>Cancelled+Return</t>
    </r>
    <phoneticPr fontId="1" type="noConversion"/>
  </si>
  <si>
    <t>Plano Tote 56 QT Black</t>
    <phoneticPr fontId="1" type="noConversion"/>
  </si>
  <si>
    <t>111-5616334-8523420</t>
  </si>
  <si>
    <t>Matthew Santo</t>
  </si>
  <si>
    <t>baysgenie87654</t>
  </si>
  <si>
    <t>mattd190830@gmail.com</t>
  </si>
  <si>
    <t>+1 267-699-1612</t>
  </si>
  <si>
    <t>bwaltlsu@gmail.com</t>
  </si>
  <si>
    <t>+1 228-218-6564</t>
  </si>
  <si>
    <t>Brandon Walters</t>
  </si>
  <si>
    <t>br-wabwa-cyjrwr</t>
  </si>
  <si>
    <t>madmouser105@gmail.com</t>
  </si>
  <si>
    <t>+1 478-957-7270</t>
  </si>
  <si>
    <t>Mike West</t>
  </si>
  <si>
    <t>madmouser801</t>
  </si>
  <si>
    <t>Steve Wardell</t>
  </si>
  <si>
    <t>evets3131</t>
  </si>
  <si>
    <t>stevewardell@hotmail.com</t>
  </si>
  <si>
    <t>+1 480-250-0973</t>
  </si>
  <si>
    <t>Edsil Kirsch</t>
  </si>
  <si>
    <t>yackmanster</t>
  </si>
  <si>
    <t>yackmanster@yahoo.com</t>
  </si>
  <si>
    <t>+1 702-539-0846</t>
  </si>
  <si>
    <t>Shelby Lupo</t>
  </si>
  <si>
    <t>shebb3191</t>
  </si>
  <si>
    <t>livelifeloud1011@aol.com</t>
  </si>
  <si>
    <t>+1 352-299-7077</t>
  </si>
  <si>
    <t>happyrokumitv@gmail.com</t>
  </si>
  <si>
    <t>+1 787-944-4631</t>
  </si>
  <si>
    <t>christian_famous07@hotmail.com</t>
  </si>
  <si>
    <t>+1 787-478-5911</t>
  </si>
  <si>
    <t>rubencastro@gmail.com</t>
  </si>
  <si>
    <t>+1 809-619-7952</t>
  </si>
  <si>
    <t>esiquio_casillas@hotmail.com</t>
  </si>
  <si>
    <t>+1 323-819-0059</t>
  </si>
  <si>
    <t>emymarieperez@yahoo.com</t>
  </si>
  <si>
    <t>+1 939-218-8982</t>
  </si>
  <si>
    <t>oslay.cabrales22@gmail.com</t>
  </si>
  <si>
    <t>+1 706-229-1185</t>
  </si>
  <si>
    <t>kristinebachar@yahoo.com</t>
  </si>
  <si>
    <t>+1 304-920-0500</t>
  </si>
  <si>
    <t>+1 541-704-8880</t>
  </si>
  <si>
    <t>9374889704090857198307</t>
    <phoneticPr fontId="1" type="noConversion"/>
  </si>
  <si>
    <t xml:space="preserve">111-0671780-9554621 </t>
  </si>
  <si>
    <t>May09-15</t>
    <phoneticPr fontId="1" type="noConversion"/>
  </si>
  <si>
    <t>111-6809372-4821039</t>
  </si>
  <si>
    <t>May09-18</t>
    <phoneticPr fontId="1" type="noConversion"/>
  </si>
  <si>
    <t>111-6919570-5289858</t>
  </si>
  <si>
    <t>Jun04</t>
    <phoneticPr fontId="1" type="noConversion"/>
  </si>
  <si>
    <t>Amazon</t>
    <phoneticPr fontId="1" type="noConversion"/>
  </si>
  <si>
    <t>Trk May07</t>
    <phoneticPr fontId="1" type="noConversion"/>
  </si>
  <si>
    <t>Ord May05</t>
    <phoneticPr fontId="1" type="noConversion"/>
  </si>
  <si>
    <t>183901390669</t>
    <phoneticPr fontId="1" type="noConversion"/>
  </si>
  <si>
    <t>May22</t>
    <phoneticPr fontId="1" type="noConversion"/>
  </si>
  <si>
    <t>1Z9T807T0372201057</t>
    <phoneticPr fontId="1" type="noConversion"/>
  </si>
  <si>
    <t>9300120111404687585735</t>
    <phoneticPr fontId="1" type="noConversion"/>
  </si>
  <si>
    <t>9300120111404687585643</t>
    <phoneticPr fontId="1" type="noConversion"/>
  </si>
  <si>
    <t>9400109898642935160655</t>
    <phoneticPr fontId="1" type="noConversion"/>
  </si>
  <si>
    <t>May14-18</t>
    <phoneticPr fontId="1" type="noConversion"/>
  </si>
  <si>
    <t>111-4562894-0414606</t>
  </si>
  <si>
    <t>AbeadedCurtain</t>
    <phoneticPr fontId="1" type="noConversion"/>
  </si>
  <si>
    <t>111-5189625-2913011</t>
  </si>
  <si>
    <t>111-2065336-0900215</t>
  </si>
  <si>
    <t>May14-19</t>
    <phoneticPr fontId="1" type="noConversion"/>
  </si>
  <si>
    <t>111-7867129-3552254</t>
  </si>
  <si>
    <t>111-8099140-1567403</t>
  </si>
  <si>
    <t>111-9223729-3345803</t>
  </si>
  <si>
    <t>111-0784313-8034617</t>
  </si>
  <si>
    <t>LT040864398NL</t>
  </si>
  <si>
    <t>ASSh</t>
    <phoneticPr fontId="1" type="noConversion"/>
  </si>
  <si>
    <t>Alicia Valenzuela</t>
  </si>
  <si>
    <t>alivalen_58</t>
  </si>
  <si>
    <t>aliciavalenzuelalacruz4242@gmail.com</t>
  </si>
  <si>
    <t>+1 562-443-1457</t>
  </si>
  <si>
    <t>180575282317</t>
    <phoneticPr fontId="1" type="noConversion"/>
  </si>
  <si>
    <t>LY233349426CN</t>
  </si>
  <si>
    <t>Wilvin Matos</t>
  </si>
  <si>
    <t>sosassy12</t>
  </si>
  <si>
    <t>Pam Collins</t>
  </si>
  <si>
    <t>pamsosassy@gmail.com</t>
  </si>
  <si>
    <t>+1 515-305-9045</t>
  </si>
  <si>
    <t>180575282328</t>
    <phoneticPr fontId="1" type="noConversion"/>
  </si>
  <si>
    <t>1Z05R2R6PW00371478</t>
  </si>
  <si>
    <t>momonroymx</t>
  </si>
  <si>
    <t>monica romero</t>
  </si>
  <si>
    <t>20121chris1</t>
  </si>
  <si>
    <t>Natalie Johnsen</t>
  </si>
  <si>
    <t>Curtain - Sea Turtle</t>
    <phoneticPr fontId="1" type="noConversion"/>
  </si>
  <si>
    <t>delacruzjerrylee70</t>
  </si>
  <si>
    <t>Jerry DeLaCruz</t>
  </si>
  <si>
    <t>drewmpetersen</t>
  </si>
  <si>
    <t>Drew Petersen</t>
  </si>
  <si>
    <t>jamy-852</t>
  </si>
  <si>
    <t>James Mykut</t>
  </si>
  <si>
    <t>dtrfocus</t>
  </si>
  <si>
    <t>Daniel RILEY</t>
  </si>
  <si>
    <t>garau-8877</t>
  </si>
  <si>
    <t>Gail Raucher</t>
  </si>
  <si>
    <t>chellybo76</t>
  </si>
  <si>
    <t>Nichelle Pendleton</t>
  </si>
  <si>
    <t>shogenson1245</t>
  </si>
  <si>
    <t>Steven Hogenson</t>
  </si>
  <si>
    <t>111-0601447-9437853</t>
  </si>
  <si>
    <t>May13</t>
    <phoneticPr fontId="1" type="noConversion"/>
  </si>
  <si>
    <t>1Z91V5X61307935713</t>
    <phoneticPr fontId="1" type="noConversion"/>
  </si>
  <si>
    <t>392633718720</t>
    <phoneticPr fontId="1" type="noConversion"/>
  </si>
  <si>
    <t>9405511899223794737902</t>
    <phoneticPr fontId="1" type="noConversion"/>
  </si>
  <si>
    <t>9300120111404716138598</t>
    <phoneticPr fontId="1" type="noConversion"/>
  </si>
  <si>
    <t>9300120111404716138567</t>
    <phoneticPr fontId="1" type="noConversion"/>
  </si>
  <si>
    <t>1Z97515A0264847073</t>
    <phoneticPr fontId="1" type="noConversion"/>
  </si>
  <si>
    <t>9274890984085809181965</t>
    <phoneticPr fontId="1" type="noConversion"/>
  </si>
  <si>
    <t>TBA027278852901</t>
  </si>
  <si>
    <t>9361289725009151000046</t>
    <phoneticPr fontId="1" type="noConversion"/>
  </si>
  <si>
    <t>111-8807558-6704246</t>
  </si>
  <si>
    <t>May16</t>
    <phoneticPr fontId="1" type="noConversion"/>
  </si>
  <si>
    <t>May17</t>
    <phoneticPr fontId="1" type="noConversion"/>
  </si>
  <si>
    <t>Rafael Mercado</t>
  </si>
  <si>
    <t>Alex González</t>
  </si>
  <si>
    <t>111-5900920-9449030</t>
  </si>
  <si>
    <t>111-0274086-5505802</t>
  </si>
  <si>
    <r>
      <t xml:space="preserve">janielcarrasquill_0--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</si>
  <si>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jsanabr3 ---------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</si>
  <si>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111-8012126-7393010</t>
  </si>
  <si>
    <t>May15-19</t>
    <phoneticPr fontId="1" type="noConversion"/>
  </si>
  <si>
    <t>christopherdevenere@yahoo.com</t>
  </si>
  <si>
    <t>+1 253-970-0328</t>
  </si>
  <si>
    <t>+1 540-842-0486</t>
  </si>
  <si>
    <t>james.m.mykut@gmail.com</t>
  </si>
  <si>
    <t>111-8048186-2110611</t>
  </si>
  <si>
    <t>River Country</t>
  </si>
  <si>
    <r>
      <t xml:space="preserve">josriver5 ---------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</si>
  <si>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raliyopr  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</si>
  <si>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rosardx_4 --- -- PR 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</si>
  <si>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2014prgnesi --- PR 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</si>
  <si>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cmartinez1390 ----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</si>
  <si>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111-6509988-3357815</t>
  </si>
  <si>
    <t>US Weight</t>
    <phoneticPr fontId="1" type="noConversion"/>
  </si>
  <si>
    <t>shogenson@hotmail.com</t>
  </si>
  <si>
    <t>+1 503-407-5080</t>
  </si>
  <si>
    <t>nichelle.pendleton@gmail.com</t>
  </si>
  <si>
    <t>+1 650-240-5510</t>
  </si>
  <si>
    <t>delacruzjerrylee@gmail.com</t>
  </si>
  <si>
    <t>+1 325-939-6927</t>
  </si>
  <si>
    <t>dtrfocus@yahoo.com</t>
  </si>
  <si>
    <t>+1 443-519-8386</t>
  </si>
  <si>
    <t>111-1252788-4994639</t>
  </si>
  <si>
    <t>9361289716090295552319</t>
    <phoneticPr fontId="1" type="noConversion"/>
  </si>
  <si>
    <t>gailraucher@gmail.com</t>
  </si>
  <si>
    <t>+1 203-640-0585</t>
  </si>
  <si>
    <t>dpetersen84@gmail.com</t>
  </si>
  <si>
    <t>+1 910-988-8569</t>
  </si>
  <si>
    <t>momonroymx@yahoo.com.mx</t>
  </si>
  <si>
    <t>+1 669-600-9459</t>
  </si>
  <si>
    <r>
      <t xml:space="preserve">feligonzale-68 ------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</si>
  <si>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Angel Hernandez</t>
    <phoneticPr fontId="1" type="noConversion"/>
  </si>
  <si>
    <t>terjag-79</t>
  </si>
  <si>
    <t>Teresa Jaghbir</t>
  </si>
  <si>
    <t>Philippe Andreani</t>
    <phoneticPr fontId="1" type="noConversion"/>
  </si>
  <si>
    <t>111-6933197-2164235</t>
  </si>
  <si>
    <t>May15</t>
    <phoneticPr fontId="1" type="noConversion"/>
  </si>
  <si>
    <r>
      <t xml:space="preserve">glendalie 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</si>
  <si>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392657478231</t>
    <phoneticPr fontId="1" type="noConversion"/>
  </si>
  <si>
    <t>180575329238</t>
    <phoneticPr fontId="1" type="noConversion"/>
  </si>
  <si>
    <t>Loyda Rivera</t>
    <phoneticPr fontId="1" type="noConversion"/>
  </si>
  <si>
    <t>111-1095059-9825049</t>
  </si>
  <si>
    <t>180575329216</t>
    <phoneticPr fontId="1" type="noConversion"/>
  </si>
  <si>
    <t>180575329227</t>
    <phoneticPr fontId="1" type="noConversion"/>
  </si>
  <si>
    <t>180575329249</t>
    <phoneticPr fontId="1" type="noConversion"/>
  </si>
  <si>
    <t>180575329250</t>
    <phoneticPr fontId="1" type="noConversion"/>
  </si>
  <si>
    <t>fponcherello</t>
  </si>
  <si>
    <t>John Mathews</t>
  </si>
  <si>
    <t>deanzillaz</t>
  </si>
  <si>
    <t>Dean Barker</t>
  </si>
  <si>
    <t>DESIREE RODRIGUEZ</t>
  </si>
  <si>
    <t xml:space="preserve">aguil_milto </t>
    <phoneticPr fontId="1" type="noConversion"/>
  </si>
  <si>
    <t>German Garciaparra</t>
  </si>
  <si>
    <r>
      <t xml:space="preserve">kuvalda1 ----- </t>
    </r>
    <r>
      <rPr>
        <sz val="10"/>
        <color rgb="FFFF0000"/>
        <rFont val="Arial Unicode MS"/>
        <family val="2"/>
        <charset val="136"/>
      </rPr>
      <t>Cancelled</t>
    </r>
    <phoneticPr fontId="1" type="noConversion"/>
  </si>
  <si>
    <t>Rubbermaid Box</t>
    <phoneticPr fontId="1" type="noConversion"/>
  </si>
  <si>
    <t>cierdebotol0</t>
  </si>
  <si>
    <t>Ciera debotoli</t>
  </si>
  <si>
    <t>sujeff_25</t>
  </si>
  <si>
    <t>Susan Jeffries</t>
  </si>
  <si>
    <t>Kit</t>
    <phoneticPr fontId="1" type="noConversion"/>
  </si>
  <si>
    <t>NOT FOUND</t>
    <phoneticPr fontId="1" type="noConversion"/>
  </si>
  <si>
    <r>
      <t xml:space="preserve">cv.enterprise-- </t>
    </r>
    <r>
      <rPr>
        <sz val="10"/>
        <color rgb="FFFF0000"/>
        <rFont val="Arial Unicode MS"/>
        <family val="2"/>
        <charset val="136"/>
      </rPr>
      <t>NOT FOUND</t>
    </r>
    <phoneticPr fontId="1" type="noConversion"/>
  </si>
  <si>
    <t>111-6954428-2070634</t>
  </si>
  <si>
    <t>May15-20</t>
    <phoneticPr fontId="1" type="noConversion"/>
  </si>
  <si>
    <t>111-8121211-6433049</t>
    <phoneticPr fontId="1" type="noConversion"/>
  </si>
  <si>
    <t>111-0056193-9605815</t>
  </si>
  <si>
    <t>111-0931119-7754625</t>
  </si>
  <si>
    <t>Cynthia Vazquez Martes</t>
    <phoneticPr fontId="1" type="noConversion"/>
  </si>
  <si>
    <t>Krissy JACKSON</t>
    <phoneticPr fontId="1" type="noConversion"/>
  </si>
  <si>
    <t>111-2677443-6811430</t>
  </si>
  <si>
    <t>111-5139803-1972245</t>
    <phoneticPr fontId="1" type="noConversion"/>
  </si>
  <si>
    <t>111-7083524-7926644</t>
  </si>
  <si>
    <t>111-6678300-1592263</t>
  </si>
  <si>
    <t>Sk</t>
    <phoneticPr fontId="1" type="noConversion"/>
  </si>
  <si>
    <t>111-9968963-6295434</t>
  </si>
  <si>
    <t>111-2747431-2811435</t>
  </si>
  <si>
    <t>RC</t>
    <phoneticPr fontId="1" type="noConversion"/>
  </si>
  <si>
    <t>May11-17</t>
    <phoneticPr fontId="1" type="noConversion"/>
  </si>
  <si>
    <t>111-6574797-7545867</t>
  </si>
  <si>
    <t>May11-19</t>
    <phoneticPr fontId="1" type="noConversion"/>
  </si>
  <si>
    <t>TAC</t>
    <phoneticPr fontId="1" type="noConversion"/>
  </si>
  <si>
    <t>111-9622456-3424228</t>
  </si>
  <si>
    <t>111-1209473-4037011</t>
  </si>
  <si>
    <t>111-3401408-3821068</t>
  </si>
  <si>
    <t>Stephanie Stuart</t>
  </si>
  <si>
    <t>maart_1243</t>
  </si>
  <si>
    <t>Marco Arteaga</t>
  </si>
  <si>
    <t>pmb19573</t>
  </si>
  <si>
    <t>P Brewer</t>
  </si>
  <si>
    <t>tree2135@yahoo.com</t>
  </si>
  <si>
    <t>+1 313-516-3772</t>
  </si>
  <si>
    <t>lunybin@gmail.com</t>
  </si>
  <si>
    <t>+1 310-800-3515</t>
  </si>
  <si>
    <t>edmondgreen1983@gmail.com</t>
  </si>
  <si>
    <t>+1 843-877-1017</t>
  </si>
  <si>
    <t>Angel Lozada</t>
    <phoneticPr fontId="1" type="noConversion"/>
  </si>
  <si>
    <t>Alexander Gandia</t>
    <phoneticPr fontId="1" type="noConversion"/>
  </si>
  <si>
    <t>111-4482365-1449015</t>
  </si>
  <si>
    <t>180575382618</t>
    <phoneticPr fontId="1" type="noConversion"/>
  </si>
  <si>
    <t xml:space="preserve">9361289681090794698445
</t>
    <phoneticPr fontId="1" type="noConversion"/>
  </si>
  <si>
    <t>9405511899223790254687</t>
    <phoneticPr fontId="1" type="noConversion"/>
  </si>
  <si>
    <t>111-3500382-4857807</t>
  </si>
  <si>
    <t>392673436702</t>
    <phoneticPr fontId="1" type="noConversion"/>
  </si>
  <si>
    <t>180575345646</t>
    <phoneticPr fontId="1" type="noConversion"/>
  </si>
  <si>
    <t>PSW</t>
    <phoneticPr fontId="1" type="noConversion"/>
  </si>
  <si>
    <t>Plano Tote 56 QT Green</t>
    <phoneticPr fontId="1" type="noConversion"/>
  </si>
  <si>
    <t>ricachaay</t>
  </si>
  <si>
    <t>dewayne hardison</t>
  </si>
  <si>
    <t>jutjki_0qmtx1</t>
  </si>
  <si>
    <t>Justin Kidd</t>
  </si>
  <si>
    <t>ricsale5</t>
  </si>
  <si>
    <t>Rick Sales</t>
  </si>
  <si>
    <t>tosh_6282</t>
  </si>
  <si>
    <t>Toni Shaw</t>
  </si>
  <si>
    <t>smas7355</t>
  </si>
  <si>
    <t>susie mask</t>
  </si>
  <si>
    <r>
      <t xml:space="preserve">algonx ----------------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</si>
  <si>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dhardison370@gmail.com</t>
  </si>
  <si>
    <t>+1 214-564-8069</t>
  </si>
  <si>
    <t>Phone no.</t>
    <phoneticPr fontId="1" type="noConversion"/>
  </si>
  <si>
    <t>+1 662-507-9870</t>
  </si>
  <si>
    <t>jutkidd77@gmail.com</t>
  </si>
  <si>
    <t>+1 802-683-6412</t>
  </si>
  <si>
    <t>sstuart852@yahoo.com</t>
  </si>
  <si>
    <t>stuart-new21</t>
    <phoneticPr fontId="1" type="noConversion"/>
  </si>
  <si>
    <t>+1 787-543-5937</t>
  </si>
  <si>
    <t>milyaracel@gmail.com</t>
  </si>
  <si>
    <t>echevmildr -------- PR</t>
    <phoneticPr fontId="1" type="noConversion"/>
  </si>
  <si>
    <t>rsales2000@comcast.net</t>
  </si>
  <si>
    <t>+1 603-944-7020</t>
  </si>
  <si>
    <t>+1 502-450-1950</t>
  </si>
  <si>
    <t>shawtoni474@gmail.com</t>
  </si>
  <si>
    <t>+1 661-607-2102</t>
  </si>
  <si>
    <t>arteaga.marco@yahoo.com</t>
  </si>
  <si>
    <t>+1 603-387-5655</t>
  </si>
  <si>
    <t>i2amjustme@gmail.com</t>
  </si>
  <si>
    <t>+1 805-722-9056</t>
  </si>
  <si>
    <t>debortoliciera@gmail.com</t>
  </si>
  <si>
    <r>
      <t xml:space="preserve">emyperez2012 -----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</si>
  <si>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nango25 -------------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</si>
  <si>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alexgan81 ----------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</si>
  <si>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111-4770110-0571435</t>
  </si>
  <si>
    <t>Christopher Martinez</t>
    <phoneticPr fontId="1" type="noConversion"/>
  </si>
  <si>
    <r>
      <t xml:space="preserve">angelsebastian83 -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</si>
  <si>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OS</t>
    <phoneticPr fontId="1" type="noConversion"/>
  </si>
  <si>
    <t>Cancelled PR</t>
    <phoneticPr fontId="1" type="noConversion"/>
  </si>
  <si>
    <r>
      <t xml:space="preserve">Cancelled </t>
    </r>
    <r>
      <rPr>
        <sz val="10"/>
        <rFont val="Arial Unicode MS"/>
        <family val="2"/>
        <charset val="136"/>
      </rPr>
      <t>PR</t>
    </r>
    <phoneticPr fontId="1" type="noConversion"/>
  </si>
  <si>
    <r>
      <t xml:space="preserve">cindyva_33 </t>
    </r>
    <r>
      <rPr>
        <sz val="10"/>
        <color rgb="FFC00000"/>
        <rFont val="Arial Unicode MS"/>
        <family val="2"/>
        <charset val="136"/>
      </rPr>
      <t>Chase A lot</t>
    </r>
    <phoneticPr fontId="1" type="noConversion"/>
  </si>
  <si>
    <t>9361289680090860617982</t>
    <phoneticPr fontId="1" type="noConversion"/>
  </si>
  <si>
    <t>Trk</t>
    <phoneticPr fontId="1" type="noConversion"/>
  </si>
  <si>
    <t>ElyYamil CruzSantana</t>
  </si>
  <si>
    <t>hestjaso - User Guide</t>
    <phoneticPr fontId="1" type="noConversion"/>
  </si>
  <si>
    <t>111-0540220-1322669</t>
  </si>
  <si>
    <t>111-2021378-5005028</t>
  </si>
  <si>
    <t>Jun05</t>
    <phoneticPr fontId="1" type="noConversion"/>
  </si>
  <si>
    <t>River Country</t>
    <phoneticPr fontId="1" type="noConversion"/>
  </si>
  <si>
    <t>111-4944007-1873034</t>
  </si>
  <si>
    <t>111-5031375-1417023</t>
  </si>
  <si>
    <t>111-5075758-1336218</t>
  </si>
  <si>
    <t>111-2309549-9279440</t>
  </si>
  <si>
    <t>Jun15</t>
    <phoneticPr fontId="1" type="noConversion"/>
  </si>
  <si>
    <t>donnymask@att.net</t>
  </si>
  <si>
    <t>+1 317-287-9290</t>
  </si>
  <si>
    <t>111-5025104-8313069</t>
  </si>
  <si>
    <t>111-9714078-4845069</t>
  </si>
  <si>
    <t>Mindwinder Cork Holder</t>
    <phoneticPr fontId="1" type="noConversion"/>
  </si>
  <si>
    <t>tuanlinhduy</t>
  </si>
  <si>
    <t>Linh Nguyen</t>
  </si>
  <si>
    <t>May03</t>
    <phoneticPr fontId="1" type="noConversion"/>
  </si>
  <si>
    <t>111-7626446-4284246</t>
  </si>
  <si>
    <t>bridmcda37 ------------ PR</t>
    <phoneticPr fontId="1" type="noConversion"/>
  </si>
  <si>
    <t>111-9588013-3756255</t>
  </si>
  <si>
    <t>CR</t>
    <phoneticPr fontId="1" type="noConversion"/>
  </si>
  <si>
    <r>
      <t>fernan1015 -</t>
    </r>
    <r>
      <rPr>
        <sz val="10"/>
        <color rgb="FFC00000"/>
        <rFont val="Arial Unicode MS"/>
        <family val="2"/>
        <charset val="136"/>
      </rPr>
      <t>Neg</t>
    </r>
    <r>
      <rPr>
        <sz val="10"/>
        <color theme="1"/>
        <rFont val="Arial Unicode MS"/>
        <family val="2"/>
        <charset val="136"/>
      </rPr>
      <t xml:space="preserve">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</si>
  <si>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jessica1991-2012 --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</si>
  <si>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luv02ride  -------- PR 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</si>
  <si>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111-4085490-5109857</t>
  </si>
  <si>
    <t>May15</t>
    <phoneticPr fontId="1" type="noConversion"/>
  </si>
  <si>
    <t>111-7902427-0061866</t>
  </si>
  <si>
    <t>May19</t>
    <phoneticPr fontId="1" type="noConversion"/>
  </si>
  <si>
    <t>111-6278635-7137021</t>
  </si>
  <si>
    <r>
      <t xml:space="preserve">elh4ppy --------------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</si>
  <si>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junve45 -------------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</si>
  <si>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elnegro6ta -------  PR 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</si>
  <si>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yomyyomalis 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</si>
  <si>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180575418299</t>
    <phoneticPr fontId="1" type="noConversion"/>
  </si>
  <si>
    <t>180575426437</t>
    <phoneticPr fontId="1" type="noConversion"/>
  </si>
  <si>
    <t>180575426415</t>
    <phoneticPr fontId="1" type="noConversion"/>
  </si>
  <si>
    <t>Refunded</t>
    <phoneticPr fontId="1" type="noConversion"/>
  </si>
  <si>
    <t>180575426389</t>
    <phoneticPr fontId="1" type="noConversion"/>
  </si>
  <si>
    <t>180575426378</t>
    <phoneticPr fontId="1" type="noConversion"/>
  </si>
  <si>
    <t>180575426426</t>
    <phoneticPr fontId="1" type="noConversion"/>
  </si>
  <si>
    <t>180575426404</t>
    <phoneticPr fontId="1" type="noConversion"/>
  </si>
  <si>
    <t>flacomenso</t>
  </si>
  <si>
    <t>Ramiro Araiza</t>
  </si>
  <si>
    <t>sharp6920_pczua8z</t>
  </si>
  <si>
    <t>john sharpe</t>
  </si>
  <si>
    <t>Haider Almayahi</t>
  </si>
  <si>
    <t>jbbuckingham</t>
  </si>
  <si>
    <t>Jason Bohanon</t>
  </si>
  <si>
    <t>jennifenicol_8</t>
  </si>
  <si>
    <t>jennifer Nicoll</t>
  </si>
  <si>
    <t>ryanacardoso</t>
  </si>
  <si>
    <t>Ryan Cardoso</t>
  </si>
  <si>
    <t>joel otero</t>
    <phoneticPr fontId="1" type="noConversion"/>
  </si>
  <si>
    <t>ramiroaraiza3@gmail.com</t>
  </si>
  <si>
    <t>+1 214-457-1853</t>
  </si>
  <si>
    <t>john.sharpe44@yahoo.com</t>
  </si>
  <si>
    <t>+1 409-365-6920</t>
  </si>
  <si>
    <t>haydar_1986@yahoo.com</t>
  </si>
  <si>
    <t>+1 210-992-0100</t>
  </si>
  <si>
    <t>tuanlinhduy@yahoo.com</t>
  </si>
  <si>
    <t>+1 703-599-5529</t>
  </si>
  <si>
    <t>daisy1358@cox.net</t>
  </si>
  <si>
    <t>+1 860-836-1237</t>
  </si>
  <si>
    <t>LT040864398NL</t>
    <phoneticPr fontId="1" type="noConversion"/>
  </si>
  <si>
    <t>9361289674090780857665</t>
    <phoneticPr fontId="1" type="noConversion"/>
  </si>
  <si>
    <t>111-3981930-4304260</t>
  </si>
  <si>
    <t>rigobertocabrera7@gmail.com</t>
  </si>
  <si>
    <t>+1 787-617-3564</t>
  </si>
  <si>
    <t>111-6296633-9294662</t>
  </si>
  <si>
    <t>elyyamil2yn@gmail.com</t>
  </si>
  <si>
    <t>+1 787-324-6004</t>
  </si>
  <si>
    <t>OK</t>
    <phoneticPr fontId="1" type="noConversion"/>
  </si>
  <si>
    <t>tjas</t>
  </si>
  <si>
    <t>Thomas J. Shannon</t>
  </si>
  <si>
    <t>tomshannon21@gmail.com</t>
  </si>
  <si>
    <t>+1 859-913-1264</t>
  </si>
  <si>
    <t>111-4911348-5865038</t>
  </si>
  <si>
    <t>111-1913539-2901017</t>
  </si>
  <si>
    <t>May14-17</t>
    <phoneticPr fontId="1" type="noConversion"/>
  </si>
  <si>
    <t>111-3410546-1674626</t>
  </si>
  <si>
    <t>111-2924496-4519457</t>
  </si>
  <si>
    <t>111-5007270-6025860</t>
  </si>
  <si>
    <t>May20</t>
    <phoneticPr fontId="1" type="noConversion"/>
  </si>
  <si>
    <t>111-9404896-2930661</t>
  </si>
  <si>
    <t>Cancelled by Buyer</t>
    <phoneticPr fontId="1" type="noConversion"/>
  </si>
  <si>
    <t>May14-16</t>
    <phoneticPr fontId="1" type="noConversion"/>
  </si>
  <si>
    <t>111-9614867-0305005</t>
  </si>
  <si>
    <t>May18-21</t>
    <phoneticPr fontId="1" type="noConversion"/>
  </si>
  <si>
    <t>111-4709008-6561010</t>
  </si>
  <si>
    <t>milton1984m@yahoo.com</t>
  </si>
  <si>
    <t>+1 786-343-9037</t>
  </si>
  <si>
    <t>111-0321072-4777860</t>
  </si>
  <si>
    <t>111-3865862-7545013</t>
  </si>
  <si>
    <t>111-7650844-3803445</t>
  </si>
  <si>
    <t>111-1646060-0796266</t>
  </si>
  <si>
    <t>111-0220857-8394607</t>
  </si>
  <si>
    <t>goodfoot74253</t>
  </si>
  <si>
    <t>Geoff Mehler</t>
  </si>
  <si>
    <t>Plano Tote 68 QT -- Green</t>
    <phoneticPr fontId="1" type="noConversion"/>
  </si>
  <si>
    <t>mudydog22</t>
  </si>
  <si>
    <t>william oshea</t>
  </si>
  <si>
    <t>mcurry561</t>
  </si>
  <si>
    <t>Michael Curry</t>
  </si>
  <si>
    <t>edgar carrasquillo</t>
  </si>
  <si>
    <t>Delivered Apr29</t>
    <phoneticPr fontId="1" type="noConversion"/>
  </si>
  <si>
    <t>ivfigu38</t>
  </si>
  <si>
    <t>Iveth Figueroa</t>
  </si>
  <si>
    <t>180575458958</t>
    <phoneticPr fontId="1" type="noConversion"/>
  </si>
  <si>
    <t>180575443841</t>
    <phoneticPr fontId="1" type="noConversion"/>
  </si>
  <si>
    <t>180575443830</t>
    <phoneticPr fontId="1" type="noConversion"/>
  </si>
  <si>
    <t>180575439194</t>
    <phoneticPr fontId="1" type="noConversion"/>
  </si>
  <si>
    <t>109022623723</t>
    <phoneticPr fontId="1" type="noConversion"/>
  </si>
  <si>
    <t>141167362642</t>
    <phoneticPr fontId="1" type="noConversion"/>
  </si>
  <si>
    <t>180575426390</t>
    <phoneticPr fontId="1" type="noConversion"/>
  </si>
  <si>
    <t>141167362804</t>
    <phoneticPr fontId="1" type="noConversion"/>
  </si>
  <si>
    <t>180575426460</t>
    <phoneticPr fontId="1" type="noConversion"/>
  </si>
  <si>
    <t>mcurry56@gmail.com</t>
  </si>
  <si>
    <t>+1 254-290-5987</t>
  </si>
  <si>
    <t>ivethfigueroa0929@gmail.com</t>
  </si>
  <si>
    <t>+1 512-696-5084</t>
  </si>
  <si>
    <r>
      <t xml:space="preserve">chrirodr3102 -------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</si>
  <si>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Francisco Ruiz</t>
    <phoneticPr fontId="1" type="noConversion"/>
  </si>
  <si>
    <r>
      <t xml:space="preserve">pacoruiz69 --------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</si>
  <si>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leonelies isaac</t>
    <phoneticPr fontId="1" type="noConversion"/>
  </si>
  <si>
    <t>Priscila Sarnelli</t>
    <phoneticPr fontId="1" type="noConversion"/>
  </si>
  <si>
    <t>111-4868736-8137841</t>
  </si>
  <si>
    <t>May18-20</t>
    <phoneticPr fontId="1" type="noConversion"/>
  </si>
  <si>
    <t>Plano Tote 56 QT -- Black</t>
    <phoneticPr fontId="1" type="noConversion"/>
  </si>
  <si>
    <t>delacruzjerrylee70</t>
    <phoneticPr fontId="1" type="noConversion"/>
  </si>
  <si>
    <t>US Weight 40 lb</t>
    <phoneticPr fontId="1" type="noConversion"/>
  </si>
  <si>
    <t>Emelyn Flores</t>
  </si>
  <si>
    <t>4sstew2013</t>
  </si>
  <si>
    <t>Steve Stewart</t>
  </si>
  <si>
    <t>dalma-micha</t>
  </si>
  <si>
    <t>Michael Dalmacio</t>
  </si>
  <si>
    <t>DESIREE RODRIGUEZ</t>
    <phoneticPr fontId="1" type="noConversion"/>
  </si>
  <si>
    <t>rackskate</t>
    <phoneticPr fontId="1" type="noConversion"/>
  </si>
  <si>
    <t>Jessica Monge</t>
    <phoneticPr fontId="1" type="noConversion"/>
  </si>
  <si>
    <t>Jaime Pérez</t>
    <phoneticPr fontId="1" type="noConversion"/>
  </si>
  <si>
    <t>Natalie Lopez</t>
    <phoneticPr fontId="1" type="noConversion"/>
  </si>
  <si>
    <t>111-4822681-4033042</t>
  </si>
  <si>
    <t>180575480581</t>
    <phoneticPr fontId="1" type="noConversion"/>
  </si>
  <si>
    <t>100 PC charging Port USB</t>
    <phoneticPr fontId="1" type="noConversion"/>
  </si>
  <si>
    <t>luilu_i_djgbe297y</t>
  </si>
  <si>
    <t>Ismael Lujan</t>
  </si>
  <si>
    <t>enmanue-0</t>
  </si>
  <si>
    <t>enmanuel acevedo</t>
  </si>
  <si>
    <t>snoomar</t>
  </si>
  <si>
    <t>Marc snook</t>
  </si>
  <si>
    <t>marc_snook@hotmail.com</t>
  </si>
  <si>
    <t>+1 503-508-2374</t>
  </si>
  <si>
    <t>ilujanjr@yahoo.com</t>
  </si>
  <si>
    <t>+1 575-650-6344</t>
  </si>
  <si>
    <t>azwang18@yahoo.com</t>
  </si>
  <si>
    <t>+1 818-397-2407</t>
  </si>
  <si>
    <t>osheabill@yahoo.com</t>
  </si>
  <si>
    <t>+1 708-341-6930</t>
  </si>
  <si>
    <t>en.re10s@gmail.com</t>
  </si>
  <si>
    <t>+1 646-387-5959</t>
  </si>
  <si>
    <r>
      <t xml:space="preserve">michaekonto-0 --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</si>
  <si>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t>8013959884447949</t>
    <phoneticPr fontId="1" type="noConversion"/>
  </si>
  <si>
    <t>Jun12</t>
    <phoneticPr fontId="1" type="noConversion"/>
  </si>
  <si>
    <t>ydn_66</t>
  </si>
  <si>
    <t>Wendy Kuzma</t>
  </si>
  <si>
    <t>Metal Plate - Turtle 3</t>
    <phoneticPr fontId="1" type="noConversion"/>
  </si>
  <si>
    <t>btuflyboutiqueregina</t>
  </si>
  <si>
    <t>Regina White</t>
  </si>
  <si>
    <t>TBA031027389901</t>
    <phoneticPr fontId="1" type="noConversion"/>
  </si>
  <si>
    <t>sjeffries1420@yahoo.com</t>
  </si>
  <si>
    <t>+1 330-224-7397</t>
  </si>
  <si>
    <t>9361289675090962230049</t>
    <phoneticPr fontId="1" type="noConversion"/>
  </si>
  <si>
    <t>180575488321</t>
    <phoneticPr fontId="1" type="noConversion"/>
  </si>
  <si>
    <t>141169391685</t>
    <phoneticPr fontId="1" type="noConversion"/>
  </si>
  <si>
    <t>180575480570</t>
    <phoneticPr fontId="1" type="noConversion"/>
  </si>
  <si>
    <t>1Z1Y706A0359503352</t>
  </si>
  <si>
    <t>180575472778</t>
    <phoneticPr fontId="1" type="noConversion"/>
  </si>
  <si>
    <t>180575472767</t>
    <phoneticPr fontId="1" type="noConversion"/>
  </si>
  <si>
    <t>180575472756</t>
    <phoneticPr fontId="1" type="noConversion"/>
  </si>
  <si>
    <t>9374889675090877413021</t>
    <phoneticPr fontId="1" type="noConversion"/>
  </si>
  <si>
    <t>Rubbermaid</t>
    <phoneticPr fontId="1" type="noConversion"/>
  </si>
  <si>
    <t>111-3631725-9076222</t>
  </si>
  <si>
    <t>May19-22</t>
    <phoneticPr fontId="1" type="noConversion"/>
  </si>
  <si>
    <t>111-6193833-5165867</t>
  </si>
  <si>
    <t>111-4398341-0357811</t>
  </si>
  <si>
    <t>May19-23</t>
    <phoneticPr fontId="1" type="noConversion"/>
  </si>
  <si>
    <t>111-5202384-7379453</t>
  </si>
  <si>
    <t>111-4180148-4593849</t>
  </si>
  <si>
    <t>leeduoduo</t>
  </si>
  <si>
    <t>Suppliers</t>
    <phoneticPr fontId="1" type="noConversion"/>
  </si>
  <si>
    <t>Arrival Date</t>
    <phoneticPr fontId="1" type="noConversion"/>
  </si>
  <si>
    <t>Order Number</t>
    <phoneticPr fontId="1" type="noConversion"/>
  </si>
  <si>
    <t>ydnewk@yahoo.com</t>
  </si>
  <si>
    <t>+1 951-329-7061</t>
  </si>
  <si>
    <t>H</t>
    <phoneticPr fontId="1" type="noConversion"/>
  </si>
  <si>
    <t>rlnazar@icloud.com</t>
  </si>
  <si>
    <t>+1 757-344-0517</t>
  </si>
  <si>
    <t>111-0439919-2665062</t>
  </si>
  <si>
    <t>111-0292344-2156225</t>
  </si>
  <si>
    <t>Intex Adaptor A</t>
    <phoneticPr fontId="1" type="noConversion"/>
  </si>
  <si>
    <t>mammyo7</t>
  </si>
  <si>
    <t>Donna A. Johnstone</t>
  </si>
  <si>
    <t>111-8088802-8289812</t>
  </si>
  <si>
    <t>Samis Ship</t>
    <phoneticPr fontId="1" type="noConversion"/>
  </si>
  <si>
    <t>stones777@charter.net</t>
  </si>
  <si>
    <t>+1 314-478-0146</t>
  </si>
  <si>
    <t>180575472745</t>
    <phoneticPr fontId="1" type="noConversion"/>
  </si>
  <si>
    <t>111-3570142-3057025</t>
  </si>
  <si>
    <t>111-1388715-6283445</t>
  </si>
  <si>
    <t>ALL FOR ALL</t>
    <phoneticPr fontId="1" type="noConversion"/>
  </si>
  <si>
    <t>111-8457044-8281833</t>
  </si>
  <si>
    <t>osmaida martinez</t>
    <phoneticPr fontId="1" type="noConversion"/>
  </si>
  <si>
    <t>LN857534698CN</t>
  </si>
  <si>
    <r>
      <t xml:space="preserve">desiree2003 -------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</si>
  <si>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gulembo123 -------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</si>
  <si>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mongjess 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</si>
  <si>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edmg1017-mvd3hyx -- </t>
    </r>
    <r>
      <rPr>
        <b/>
        <sz val="10"/>
        <color rgb="FF00B050"/>
        <rFont val="Arial Unicode MS"/>
        <family val="2"/>
        <charset val="136"/>
      </rPr>
      <t>C</t>
    </r>
    <r>
      <rPr>
        <sz val="10"/>
        <color theme="1"/>
        <rFont val="Arial Unicode MS"/>
        <family val="2"/>
        <charset val="136"/>
      </rPr>
      <t>AN</t>
    </r>
    <phoneticPr fontId="1" type="noConversion"/>
  </si>
  <si>
    <r>
      <t xml:space="preserve">prissarn_0  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</si>
  <si>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rafael_mercado 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</si>
  <si>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Jerry DeLaCruz</t>
    <phoneticPr fontId="1" type="noConversion"/>
  </si>
  <si>
    <t>111-5556298-6609030</t>
  </si>
  <si>
    <t>May19-21</t>
    <phoneticPr fontId="1" type="noConversion"/>
  </si>
  <si>
    <r>
      <t xml:space="preserve">natalielopez05 ----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</si>
  <si>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C</t>
    <phoneticPr fontId="1" type="noConversion"/>
  </si>
  <si>
    <t>Giomarie Rodríguez</t>
    <phoneticPr fontId="1" type="noConversion"/>
  </si>
  <si>
    <r>
      <t xml:space="preserve">leoneliesisaac 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</si>
  <si>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TBA031473800401</t>
  </si>
  <si>
    <t>392779420943</t>
    <phoneticPr fontId="1" type="noConversion"/>
  </si>
  <si>
    <t>Intex Adaptor A</t>
    <phoneticPr fontId="1" type="noConversion"/>
  </si>
  <si>
    <t>jatho-9803</t>
  </si>
  <si>
    <t>Jami Thomas</t>
  </si>
  <si>
    <t>catzi_lui</t>
  </si>
  <si>
    <t>luis catzin</t>
  </si>
  <si>
    <t>kevidegust0</t>
  </si>
  <si>
    <t>Kevin Degusto</t>
  </si>
  <si>
    <t>9374889679090601521141</t>
    <phoneticPr fontId="1" type="noConversion"/>
  </si>
  <si>
    <t>141167368607</t>
    <phoneticPr fontId="1" type="noConversion"/>
  </si>
  <si>
    <t>180575509687</t>
    <phoneticPr fontId="1" type="noConversion"/>
  </si>
  <si>
    <t>180575509665</t>
    <phoneticPr fontId="1" type="noConversion"/>
  </si>
  <si>
    <t>180575509172</t>
    <phoneticPr fontId="1" type="noConversion"/>
  </si>
  <si>
    <t>107610179192</t>
    <phoneticPr fontId="1" type="noConversion"/>
  </si>
  <si>
    <t>jami.thomas08@gmail.com</t>
  </si>
  <si>
    <t>+1 989-529-8195</t>
  </si>
  <si>
    <t>111-6173696-5448215</t>
  </si>
  <si>
    <t>catzin88@gmail.com</t>
  </si>
  <si>
    <t>+1 562-822-4748</t>
  </si>
  <si>
    <t>sgotty714d@yahoo.com</t>
  </si>
  <si>
    <t>+1 615-290-2049</t>
  </si>
  <si>
    <t>111-3471968-4754624</t>
  </si>
  <si>
    <t>May21-22</t>
    <phoneticPr fontId="1" type="noConversion"/>
  </si>
  <si>
    <t>Click To Shop Toys</t>
    <phoneticPr fontId="1" type="noConversion"/>
  </si>
  <si>
    <t>111-8112351-9339430</t>
  </si>
  <si>
    <t>9361289715009180440717</t>
    <phoneticPr fontId="1" type="noConversion"/>
  </si>
  <si>
    <t>Rigoberto Cabrera</t>
    <phoneticPr fontId="1" type="noConversion"/>
  </si>
  <si>
    <t>9361289706090882166908</t>
    <phoneticPr fontId="1" type="noConversion"/>
  </si>
  <si>
    <t>gaviota0069</t>
  </si>
  <si>
    <t>isa morales</t>
  </si>
  <si>
    <t>Bridgette McDaniel</t>
    <phoneticPr fontId="1" type="noConversion"/>
  </si>
  <si>
    <t>annunaki441</t>
  </si>
  <si>
    <t>Derrick Frisch</t>
  </si>
  <si>
    <t>dfrisch63@gmail.com</t>
  </si>
  <si>
    <t>+1 801-755-8456</t>
  </si>
  <si>
    <t>moralesisa@yahoo.com</t>
  </si>
  <si>
    <t>+1 787-366-3027</t>
  </si>
  <si>
    <t>reboot_sales</t>
  </si>
  <si>
    <t>Andreas Filippakhs</t>
  </si>
  <si>
    <t>Curtain - Virgin Mary</t>
    <phoneticPr fontId="1" type="noConversion"/>
  </si>
  <si>
    <t>c8425050</t>
  </si>
  <si>
    <t>Ray Holsonback</t>
  </si>
  <si>
    <t>ray.holsonback@alpekpolyester.com</t>
  </si>
  <si>
    <t>+1 803-609-6093</t>
  </si>
  <si>
    <t>chris cantrelle</t>
  </si>
  <si>
    <t>capatom@hotmail.com</t>
  </si>
  <si>
    <t>+1 727-641-0261</t>
  </si>
  <si>
    <t>jbud7160</t>
  </si>
  <si>
    <t>Joshua Budik</t>
  </si>
  <si>
    <t>greezy_j@yahoo.com</t>
  </si>
  <si>
    <t>+1 619-938-5707</t>
  </si>
  <si>
    <t>392810329606</t>
    <phoneticPr fontId="1" type="noConversion"/>
  </si>
  <si>
    <t>1Z97515F0365402156</t>
    <phoneticPr fontId="1" type="noConversion"/>
  </si>
  <si>
    <t>111-9136495-0938629</t>
  </si>
  <si>
    <t>lkgamehler@comcast.net</t>
  </si>
  <si>
    <t>+1 253-222-7996</t>
  </si>
  <si>
    <t>111-0661703-2985860</t>
  </si>
  <si>
    <t>May18</t>
    <phoneticPr fontId="1" type="noConversion"/>
  </si>
  <si>
    <t>Samis Shop</t>
  </si>
  <si>
    <t>111-9449897-4261042</t>
  </si>
  <si>
    <t>111-1491000-4257863</t>
  </si>
  <si>
    <t>111-6119353-3393022</t>
  </si>
  <si>
    <t>Curtain - American Flag</t>
    <phoneticPr fontId="1" type="noConversion"/>
  </si>
  <si>
    <t>pe881es</t>
  </si>
  <si>
    <t>Heather Y Allen</t>
  </si>
  <si>
    <t>111-2281673-9667402</t>
  </si>
  <si>
    <t xml:space="preserve">392826126210
</t>
    <phoneticPr fontId="1" type="noConversion"/>
  </si>
  <si>
    <t>things4sale76@yahoo.com</t>
  </si>
  <si>
    <t>+1 406-826-3814</t>
  </si>
  <si>
    <t>rafiel1987@gmail.com</t>
  </si>
  <si>
    <t>+1 787-396-7467</t>
  </si>
  <si>
    <t>Curtain - Bamboo Stalk</t>
    <phoneticPr fontId="1" type="noConversion"/>
  </si>
  <si>
    <t>iviarissa</t>
  </si>
  <si>
    <t>Robert L Flynn</t>
  </si>
  <si>
    <t>iviarlena737@aol.com</t>
  </si>
  <si>
    <t>+1 915-478-3589</t>
  </si>
  <si>
    <t xml:space="preserve"> </t>
    <phoneticPr fontId="1" type="noConversion"/>
  </si>
  <si>
    <r>
      <t xml:space="preserve">edgarnoe1 ----------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</si>
  <si>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r>
      <t xml:space="preserve">gaviota0069 ---------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</si>
  <si>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111-5159357-7997030</t>
  </si>
  <si>
    <t>May17-19</t>
    <phoneticPr fontId="1" type="noConversion"/>
  </si>
  <si>
    <t>Collectibles + Closeouts</t>
  </si>
  <si>
    <r>
      <t xml:space="preserve">podie1973 ----- </t>
    </r>
    <r>
      <rPr>
        <sz val="10"/>
        <color rgb="FFFF0000"/>
        <rFont val="Arial Unicode MS"/>
        <family val="2"/>
        <charset val="136"/>
      </rPr>
      <t>Refunded</t>
    </r>
    <phoneticPr fontId="1" type="noConversion"/>
  </si>
  <si>
    <t>TBA032546404701</t>
    <phoneticPr fontId="1" type="noConversion"/>
  </si>
  <si>
    <t>9374889705090612557560</t>
    <phoneticPr fontId="1" type="noConversion"/>
  </si>
  <si>
    <t>jufab_6096</t>
  </si>
  <si>
    <t>Julio Fabela</t>
  </si>
  <si>
    <t>fabelajulio36@gmail.com</t>
  </si>
  <si>
    <t>+1 815-650-6121</t>
  </si>
  <si>
    <t>reboot_sales</t>
    <phoneticPr fontId="1" type="noConversion"/>
  </si>
  <si>
    <t>TBA033104997601</t>
  </si>
  <si>
    <t>AL</t>
    <phoneticPr fontId="1" type="noConversion"/>
  </si>
  <si>
    <t>9361289711090934763453</t>
    <phoneticPr fontId="1" type="noConversion"/>
  </si>
  <si>
    <t>8014102216027564 HK</t>
    <phoneticPr fontId="1" type="noConversion"/>
  </si>
  <si>
    <t>Since 2010</t>
  </si>
  <si>
    <t>afilippakhs@gmail.com</t>
  </si>
  <si>
    <t>+30 698-390-9224</t>
  </si>
  <si>
    <t>KEVIN DAMRONG</t>
  </si>
  <si>
    <t>9400116901628797950895</t>
    <phoneticPr fontId="1" type="noConversion"/>
  </si>
  <si>
    <t>111-7446072-5973801</t>
  </si>
  <si>
    <t>May21-27</t>
    <phoneticPr fontId="1" type="noConversion"/>
  </si>
  <si>
    <t>Refunded+Compesation May14</t>
    <phoneticPr fontId="1" type="noConversion"/>
  </si>
  <si>
    <t>Remarks</t>
    <phoneticPr fontId="1" type="noConversion"/>
  </si>
  <si>
    <t>Joseph Quinn</t>
    <phoneticPr fontId="1" type="noConversion"/>
  </si>
  <si>
    <t>111-0647716-9260212</t>
  </si>
  <si>
    <t>Jun011</t>
    <phoneticPr fontId="1" type="noConversion"/>
  </si>
  <si>
    <t>rafiel87 --------------- PR</t>
    <phoneticPr fontId="1" type="noConversion"/>
  </si>
  <si>
    <t>Ricardo Cuadrado</t>
  </si>
  <si>
    <t>cuev-manu</t>
  </si>
  <si>
    <t>Manuel Cuevas</t>
  </si>
  <si>
    <t>asa743@hotmail.com</t>
  </si>
  <si>
    <t>+1 973-713-2731</t>
  </si>
  <si>
    <t>ricardo-cuadrado5@hotmail.com</t>
  </si>
  <si>
    <t>+1 939-644-8757</t>
  </si>
  <si>
    <t>Timothy DeBusk</t>
    <phoneticPr fontId="1" type="noConversion"/>
  </si>
  <si>
    <t>180575628550</t>
    <phoneticPr fontId="1" type="noConversion"/>
  </si>
  <si>
    <t>ASShip</t>
    <phoneticPr fontId="1" type="noConversion"/>
  </si>
  <si>
    <t xml:space="preserve"> </t>
    <phoneticPr fontId="1" type="noConversion"/>
  </si>
  <si>
    <t>GC</t>
    <phoneticPr fontId="1" type="noConversion"/>
  </si>
  <si>
    <t>Dec14 9:45</t>
    <phoneticPr fontId="1" type="noConversion"/>
  </si>
  <si>
    <t>Dec13  3:00</t>
    <phoneticPr fontId="1" type="noConversion"/>
  </si>
  <si>
    <t>Dec12 2147</t>
    <phoneticPr fontId="1" type="noConversion"/>
  </si>
  <si>
    <t>Dec10 20:00</t>
    <phoneticPr fontId="1" type="noConversion"/>
  </si>
  <si>
    <t>AE</t>
    <phoneticPr fontId="1" type="noConversion"/>
  </si>
  <si>
    <t>Email</t>
    <phoneticPr fontId="1" type="noConversion"/>
  </si>
  <si>
    <t>23/10 -11:10</t>
    <phoneticPr fontId="1" type="noConversion"/>
  </si>
  <si>
    <t xml:space="preserve"> </t>
    <phoneticPr fontId="1" type="noConversion"/>
  </si>
  <si>
    <t>29/09 -03:19</t>
    <phoneticPr fontId="1" type="noConversion"/>
  </si>
  <si>
    <t>24/09 -18:11</t>
    <phoneticPr fontId="1" type="noConversion"/>
  </si>
  <si>
    <t>22/09 -03:48</t>
    <phoneticPr fontId="1" type="noConversion"/>
  </si>
  <si>
    <t>21/09 -03:29</t>
    <phoneticPr fontId="1" type="noConversion"/>
  </si>
  <si>
    <t>19/09 -23:26</t>
    <phoneticPr fontId="1" type="noConversion"/>
  </si>
  <si>
    <t>16/09 -03:42</t>
    <phoneticPr fontId="1" type="noConversion"/>
  </si>
  <si>
    <t>16/09 -07:21</t>
    <phoneticPr fontId="1" type="noConversion"/>
  </si>
  <si>
    <t>16/09 -03:32</t>
    <phoneticPr fontId="1" type="noConversion"/>
  </si>
  <si>
    <t>16/09 -06:51</t>
    <phoneticPr fontId="1" type="noConversion"/>
  </si>
  <si>
    <t>14/09 -22:00</t>
    <phoneticPr fontId="1" type="noConversion"/>
  </si>
  <si>
    <t>14/09 - 07:57</t>
    <phoneticPr fontId="1" type="noConversion"/>
  </si>
  <si>
    <t>13/09 - 09:37</t>
    <phoneticPr fontId="1" type="noConversion"/>
  </si>
  <si>
    <t>12/09 - 20:49</t>
    <phoneticPr fontId="1" type="noConversion"/>
  </si>
  <si>
    <t>12/09 - 12:00</t>
    <phoneticPr fontId="1" type="noConversion"/>
  </si>
  <si>
    <t>12/09 - 04:17</t>
    <phoneticPr fontId="1" type="noConversion"/>
  </si>
  <si>
    <t>14/09 - 22:17</t>
    <phoneticPr fontId="1" type="noConversion"/>
  </si>
  <si>
    <t>11/09 - 04:56</t>
    <phoneticPr fontId="1" type="noConversion"/>
  </si>
  <si>
    <t>11/09 - 02:40</t>
    <phoneticPr fontId="1" type="noConversion"/>
  </si>
  <si>
    <t>10/09 - 14:38</t>
    <phoneticPr fontId="1" type="noConversion"/>
  </si>
  <si>
    <t>10/09 - 07:12</t>
    <phoneticPr fontId="1" type="noConversion"/>
  </si>
  <si>
    <t>10/09 - 19:12</t>
    <phoneticPr fontId="1" type="noConversion"/>
  </si>
  <si>
    <t>10/09 - 03:58</t>
    <phoneticPr fontId="1" type="noConversion"/>
  </si>
  <si>
    <t>09/09 - 07:50</t>
    <phoneticPr fontId="1" type="noConversion"/>
  </si>
  <si>
    <t>10/09 - 02:40</t>
    <phoneticPr fontId="1" type="noConversion"/>
  </si>
  <si>
    <t>07/09 -10:27</t>
    <phoneticPr fontId="1" type="noConversion"/>
  </si>
  <si>
    <t>06/09 - 08:00</t>
    <phoneticPr fontId="1" type="noConversion"/>
  </si>
  <si>
    <t>09/09 - 01:20</t>
    <phoneticPr fontId="1" type="noConversion"/>
  </si>
  <si>
    <t>03/09 - 12:19</t>
    <phoneticPr fontId="1" type="noConversion"/>
  </si>
  <si>
    <t>03/09 - 04:07</t>
    <phoneticPr fontId="1" type="noConversion"/>
  </si>
  <si>
    <t>03/09 - 03:01</t>
    <phoneticPr fontId="1" type="noConversion"/>
  </si>
  <si>
    <t>03/09 - 06:11</t>
    <phoneticPr fontId="1" type="noConversion"/>
  </si>
  <si>
    <t>03/09 - 03:17</t>
    <phoneticPr fontId="1" type="noConversion"/>
  </si>
  <si>
    <t>03/09 - 02:48</t>
    <phoneticPr fontId="1" type="noConversion"/>
  </si>
  <si>
    <t>03/09 - 01:24</t>
    <phoneticPr fontId="1" type="noConversion"/>
  </si>
  <si>
    <t>01/09 - 05:30</t>
    <phoneticPr fontId="1" type="noConversion"/>
  </si>
  <si>
    <t>31/08 - 15:18</t>
    <phoneticPr fontId="1" type="noConversion"/>
  </si>
  <si>
    <t>31/08 - 01:20</t>
    <phoneticPr fontId="1" type="noConversion"/>
  </si>
  <si>
    <t>30/08 - 04:37</t>
    <phoneticPr fontId="1" type="noConversion"/>
  </si>
  <si>
    <t>29/08 - 19:15</t>
    <phoneticPr fontId="1" type="noConversion"/>
  </si>
  <si>
    <t>29/08 - 16:58</t>
    <phoneticPr fontId="1" type="noConversion"/>
  </si>
  <si>
    <t>No VAT</t>
    <phoneticPr fontId="1" type="noConversion"/>
  </si>
  <si>
    <t>9374889681090701510934</t>
    <phoneticPr fontId="1" type="noConversion"/>
  </si>
  <si>
    <t>TBA033363216301</t>
    <phoneticPr fontId="1" type="noConversion"/>
  </si>
  <si>
    <t>1Z975W420269978301</t>
  </si>
  <si>
    <t>galindez1234 --------- PR</t>
    <phoneticPr fontId="1" type="noConversion"/>
  </si>
  <si>
    <t>javus.b23xy2wk ----- PR</t>
    <phoneticPr fontId="1" type="noConversion"/>
  </si>
  <si>
    <t>1Z975W420269943508</t>
  </si>
  <si>
    <t>1Z975W420269957593</t>
    <phoneticPr fontId="1" type="noConversion"/>
  </si>
  <si>
    <t>111-9765136-5633019</t>
  </si>
  <si>
    <t>May21</t>
    <phoneticPr fontId="1" type="noConversion"/>
  </si>
  <si>
    <t>phra.us.5hkkrm8</t>
    <phoneticPr fontId="1" type="noConversion"/>
  </si>
  <si>
    <t>leonimus0</t>
  </si>
  <si>
    <t>Leonid muss</t>
  </si>
  <si>
    <t>tombmw29</t>
  </si>
  <si>
    <t>thomas/juanita valdez</t>
  </si>
  <si>
    <t>scotsiltma_0</t>
  </si>
  <si>
    <t>Scott Siltman</t>
  </si>
  <si>
    <t>1Z79R1220202641765</t>
    <phoneticPr fontId="1" type="noConversion"/>
  </si>
  <si>
    <t>lianilope-0 ------------- PR</t>
    <phoneticPr fontId="1" type="noConversion"/>
  </si>
  <si>
    <t>1Z79R1220202642040</t>
    <phoneticPr fontId="1" type="noConversion"/>
  </si>
  <si>
    <t>Nilda Maldonado</t>
    <phoneticPr fontId="1" type="noConversion"/>
  </si>
  <si>
    <t>1Z79R1220202641318</t>
    <phoneticPr fontId="1" type="noConversion"/>
  </si>
  <si>
    <t>1Z79R1220202640079</t>
    <phoneticPr fontId="1" type="noConversion"/>
  </si>
  <si>
    <t>dochump2011</t>
    <phoneticPr fontId="1" type="noConversion"/>
  </si>
  <si>
    <t>9361289677090452010890</t>
    <phoneticPr fontId="1" type="noConversion"/>
  </si>
  <si>
    <t>9361289701090499713514</t>
    <phoneticPr fontId="1" type="noConversion"/>
  </si>
  <si>
    <t>1Z20472E1386981969</t>
    <phoneticPr fontId="1" type="noConversion"/>
  </si>
  <si>
    <t>Limited by eBay</t>
    <phoneticPr fontId="1" type="noConversion"/>
  </si>
  <si>
    <t>TBA033331094001</t>
  </si>
  <si>
    <t>1Z79R1220202641149</t>
    <phoneticPr fontId="1" type="noConversion"/>
  </si>
  <si>
    <t>lecmer9   -------------- PR</t>
    <phoneticPr fontId="1" type="noConversion"/>
  </si>
  <si>
    <t>1Z79R1220202641729</t>
    <phoneticPr fontId="1" type="noConversion"/>
  </si>
  <si>
    <t>1Z79R1220202641667</t>
  </si>
  <si>
    <t xml:space="preserve">9205590213425906602037
</t>
    <phoneticPr fontId="1" type="noConversion"/>
  </si>
  <si>
    <t>May26</t>
    <phoneticPr fontId="1" type="noConversion"/>
  </si>
  <si>
    <t>Irma Cartagena</t>
    <phoneticPr fontId="1" type="noConversion"/>
  </si>
  <si>
    <t>thomas27.valdez@att.net</t>
  </si>
  <si>
    <t>+1 915-252-7766</t>
  </si>
  <si>
    <t>leonidmuss@gmail.com</t>
  </si>
  <si>
    <t>+1 561-612-1047</t>
  </si>
  <si>
    <t>timothyochoa@ymail.com</t>
  </si>
  <si>
    <t>+1 915-626-6687</t>
  </si>
  <si>
    <t>timothyochoa2012</t>
  </si>
  <si>
    <t>scottsiltman1972@gmail.com</t>
  </si>
  <si>
    <t>+1 217-314-0295</t>
  </si>
  <si>
    <t>9361289725009160778158</t>
    <phoneticPr fontId="1" type="noConversion"/>
  </si>
  <si>
    <t>9361289675090964770215</t>
    <phoneticPr fontId="1" type="noConversion"/>
  </si>
  <si>
    <t>TBA034201010001</t>
  </si>
  <si>
    <t>1ZR29Y510394690191</t>
    <phoneticPr fontId="1" type="noConversion"/>
  </si>
  <si>
    <t>LT045851881NL</t>
    <phoneticPr fontId="1" type="noConversion"/>
  </si>
  <si>
    <t>9405511899223764454211</t>
    <phoneticPr fontId="1" type="noConversion"/>
  </si>
  <si>
    <t>111-8904622-9179403</t>
  </si>
  <si>
    <t>May21-26</t>
    <phoneticPr fontId="1" type="noConversion"/>
  </si>
  <si>
    <t>TBA034366977701</t>
  </si>
  <si>
    <t>TBA034320825401</t>
  </si>
  <si>
    <t>1Z306A440352771240</t>
  </si>
  <si>
    <t>111-4530459-9900213</t>
  </si>
  <si>
    <t>May22-28</t>
    <phoneticPr fontId="1" type="noConversion"/>
  </si>
  <si>
    <t>TBA220506858000</t>
  </si>
  <si>
    <t>111-4982832-9918647</t>
  </si>
  <si>
    <t>May27-29</t>
    <phoneticPr fontId="1" type="noConversion"/>
  </si>
  <si>
    <t>TBA034500209301</t>
  </si>
  <si>
    <t>9361289696090563185796</t>
    <phoneticPr fontId="1" type="noConversion"/>
  </si>
  <si>
    <t>1Z7V267X0303689067</t>
    <phoneticPr fontId="1" type="noConversion"/>
  </si>
  <si>
    <t>deanzilla@me.com</t>
  </si>
  <si>
    <t>+1 480-686-3857</t>
  </si>
  <si>
    <t>kenn8072</t>
  </si>
  <si>
    <t>Katie bertolina</t>
  </si>
  <si>
    <t>111-2489997-4621840</t>
  </si>
  <si>
    <t>pvurgchick1023@gmail.com</t>
  </si>
  <si>
    <t>+1 443-735-2362</t>
  </si>
  <si>
    <t>slvelasquez2481@gmail.com</t>
  </si>
  <si>
    <t>+1 501-722-2519</t>
  </si>
  <si>
    <t>sabrinvelasque_50</t>
  </si>
  <si>
    <t>Sabrina Velasquez</t>
  </si>
  <si>
    <t>biejooon777</t>
  </si>
  <si>
    <t>Aaron Rodriguez</t>
  </si>
  <si>
    <t>aaronvr7@hotmail.com</t>
  </si>
  <si>
    <t>+1 6531100042</t>
    <phoneticPr fontId="1" type="noConversion"/>
  </si>
  <si>
    <t>9361289711090937591138</t>
    <phoneticPr fontId="1" type="noConversion"/>
  </si>
  <si>
    <t>9361289685090771403501</t>
    <phoneticPr fontId="1" type="noConversion"/>
  </si>
  <si>
    <t xml:space="preserve">Cancelled </t>
    <phoneticPr fontId="1" type="noConversion"/>
  </si>
  <si>
    <t>8014097682587564</t>
    <phoneticPr fontId="1" type="noConversion"/>
  </si>
  <si>
    <t>Jun16</t>
    <phoneticPr fontId="1" type="noConversion"/>
  </si>
  <si>
    <t>AE2</t>
    <phoneticPr fontId="1" type="noConversion"/>
  </si>
  <si>
    <t xml:space="preserve">8014151403397564 </t>
    <phoneticPr fontId="1" type="noConversion"/>
  </si>
  <si>
    <t>985tonyforet</t>
  </si>
  <si>
    <t>anthony foret</t>
  </si>
  <si>
    <t>tonyforet@yahoo.com</t>
  </si>
  <si>
    <t>+1 985-688-4248</t>
  </si>
  <si>
    <t>111-0342144-0253061</t>
  </si>
  <si>
    <t>May22-27</t>
    <phoneticPr fontId="1" type="noConversion"/>
  </si>
  <si>
    <t>Great Price Fast Service</t>
    <phoneticPr fontId="1" type="noConversion"/>
  </si>
  <si>
    <t>9300120111404770165417</t>
    <phoneticPr fontId="1" type="noConversion"/>
  </si>
  <si>
    <t>USPS</t>
    <phoneticPr fontId="1" type="noConversion"/>
  </si>
  <si>
    <t>111-3910925-1510634</t>
    <phoneticPr fontId="1" type="noConversion"/>
  </si>
  <si>
    <t>May20-27</t>
    <phoneticPr fontId="1" type="noConversion"/>
  </si>
  <si>
    <t>Saturday Knight</t>
    <phoneticPr fontId="1" type="noConversion"/>
  </si>
  <si>
    <t>TBA035731821101</t>
    <phoneticPr fontId="1" type="noConversion"/>
  </si>
  <si>
    <t>haidealmayah_0</t>
    <phoneticPr fontId="1" type="noConversion"/>
  </si>
  <si>
    <t>392926222118</t>
    <phoneticPr fontId="1" type="noConversion"/>
  </si>
  <si>
    <t>392926323540</t>
    <phoneticPr fontId="1" type="noConversion"/>
  </si>
  <si>
    <t>111-0847759-0637836</t>
  </si>
  <si>
    <t>111-8414273-9779429</t>
    <phoneticPr fontId="1" type="noConversion"/>
  </si>
  <si>
    <t>May26-Jun01</t>
    <phoneticPr fontId="1" type="noConversion"/>
  </si>
  <si>
    <t>107610212574</t>
    <phoneticPr fontId="1" type="noConversion"/>
  </si>
  <si>
    <t>Cancelled ----- PR</t>
    <phoneticPr fontId="1" type="noConversion"/>
  </si>
  <si>
    <t>1Z9R82E00272479567</t>
    <phoneticPr fontId="1" type="noConversion"/>
  </si>
  <si>
    <t>jonty00-2012</t>
    <phoneticPr fontId="1" type="noConversion"/>
  </si>
  <si>
    <t>Jose R Melendez Lopez</t>
    <phoneticPr fontId="1" type="noConversion"/>
  </si>
  <si>
    <t>9361289673090935362960</t>
    <phoneticPr fontId="1" type="noConversion"/>
  </si>
  <si>
    <t>May01</t>
    <phoneticPr fontId="1" type="noConversion"/>
  </si>
  <si>
    <t>Cancelled</t>
    <phoneticPr fontId="1" type="noConversion"/>
  </si>
  <si>
    <t>misterio75</t>
    <phoneticPr fontId="1" type="noConversion"/>
  </si>
  <si>
    <t>henry flores</t>
    <phoneticPr fontId="1" type="noConversion"/>
  </si>
  <si>
    <t>lymaripere2 ------- PR</t>
    <phoneticPr fontId="1" type="noConversion"/>
  </si>
  <si>
    <t>bridmcda37</t>
    <phoneticPr fontId="1" type="noConversion"/>
  </si>
  <si>
    <t>USPS</t>
    <phoneticPr fontId="1" type="noConversion"/>
  </si>
  <si>
    <t>Curtain - Sunset</t>
    <phoneticPr fontId="1" type="noConversion"/>
  </si>
  <si>
    <t>May20-22</t>
    <phoneticPr fontId="1" type="noConversion"/>
  </si>
  <si>
    <t>sparkles5276</t>
  </si>
  <si>
    <t>+1 718-759-7229</t>
  </si>
  <si>
    <t>sparkles5276@yahoo.com</t>
  </si>
  <si>
    <t>patriciaanderson67</t>
  </si>
  <si>
    <t>Patricia Anderson</t>
  </si>
  <si>
    <t>patricia12989@hotmail.com</t>
  </si>
  <si>
    <t>+1 520-403-1242</t>
  </si>
  <si>
    <t>Rachel Phillips</t>
    <phoneticPr fontId="1" type="noConversion"/>
  </si>
  <si>
    <t>4203708692748927005455000001159142</t>
    <phoneticPr fontId="1" type="noConversion"/>
  </si>
  <si>
    <t>8014052069797564</t>
    <phoneticPr fontId="1" type="noConversion"/>
  </si>
  <si>
    <t>4200784992748927005455000001159005</t>
    <phoneticPr fontId="1" type="noConversion"/>
  </si>
  <si>
    <t>4208501592748927005455000001159883</t>
    <phoneticPr fontId="1" type="noConversion"/>
  </si>
  <si>
    <t>4201123692748927005455000000225800</t>
    <phoneticPr fontId="1" type="noConversion"/>
  </si>
  <si>
    <t>EDMOND GREEN</t>
    <phoneticPr fontId="1" type="noConversion"/>
  </si>
  <si>
    <r>
      <t xml:space="preserve">riccuad-0 -----------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</si>
  <si>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111-7149037-7829013</t>
  </si>
  <si>
    <t>May20-28</t>
    <phoneticPr fontId="1" type="noConversion"/>
  </si>
  <si>
    <t>Amazon</t>
    <phoneticPr fontId="1" type="noConversion"/>
  </si>
  <si>
    <t>Timothy Ochoa</t>
    <phoneticPr fontId="1" type="noConversion"/>
  </si>
  <si>
    <t>111-6066506-0287420</t>
  </si>
  <si>
    <t>River Country</t>
    <phoneticPr fontId="1" type="noConversion"/>
  </si>
  <si>
    <t xml:space="preserve"> </t>
    <phoneticPr fontId="1" type="noConversion"/>
  </si>
  <si>
    <t>val vladyanu</t>
    <phoneticPr fontId="1" type="noConversion"/>
  </si>
  <si>
    <t>Jennifer Fodor</t>
    <phoneticPr fontId="1" type="noConversion"/>
  </si>
  <si>
    <t>111-8638528-4773866</t>
  </si>
  <si>
    <t>May20-Jun03</t>
    <phoneticPr fontId="1" type="noConversion"/>
  </si>
  <si>
    <r>
      <t xml:space="preserve">giomarieann81 ---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</si>
  <si>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O/S</t>
    <phoneticPr fontId="1" type="noConversion"/>
  </si>
  <si>
    <t>1Z50219X0290473099</t>
    <phoneticPr fontId="1" type="noConversion"/>
  </si>
  <si>
    <t>UPS</t>
    <phoneticPr fontId="1" type="noConversion"/>
  </si>
  <si>
    <t>1Z9X26Y90309985652</t>
    <phoneticPr fontId="1" type="noConversion"/>
  </si>
  <si>
    <t>9405511899223782109636</t>
    <phoneticPr fontId="1" type="noConversion"/>
  </si>
  <si>
    <t>Rafiel Gonzalez</t>
    <phoneticPr fontId="1" type="noConversion"/>
  </si>
  <si>
    <t>Milton Aguilar</t>
    <phoneticPr fontId="1" type="noConversion"/>
  </si>
  <si>
    <t>eBay Seller</t>
    <phoneticPr fontId="1" type="noConversion"/>
  </si>
  <si>
    <t>stpete2008</t>
    <phoneticPr fontId="1" type="noConversion"/>
  </si>
  <si>
    <t>TBA036931139101</t>
  </si>
  <si>
    <t>AL</t>
    <phoneticPr fontId="1" type="noConversion"/>
  </si>
  <si>
    <t>1Z9702V70220817281</t>
    <phoneticPr fontId="1" type="noConversion"/>
  </si>
  <si>
    <t>9400116901628797970503</t>
    <phoneticPr fontId="1" type="noConversion"/>
  </si>
  <si>
    <t>111-0677366-5949807</t>
  </si>
  <si>
    <t>May27-29</t>
    <phoneticPr fontId="1" type="noConversion"/>
  </si>
  <si>
    <t>Intex Skimmer</t>
    <phoneticPr fontId="1" type="noConversion"/>
  </si>
  <si>
    <t>ismaelrx7</t>
  </si>
  <si>
    <t>ismael robles</t>
  </si>
  <si>
    <t>ismael.robles75@yahoo.com</t>
  </si>
  <si>
    <t>+1 717-715-2706</t>
  </si>
  <si>
    <t>Richard Rudiger</t>
  </si>
  <si>
    <t>393008209087</t>
    <phoneticPr fontId="1" type="noConversion"/>
  </si>
  <si>
    <t>cab_cb_hlt3kyiira</t>
  </si>
  <si>
    <t>Bobby Cabell</t>
  </si>
  <si>
    <t>cabell1957@suddenlink.net</t>
  </si>
  <si>
    <t>+1 681-400-3056</t>
  </si>
  <si>
    <t>Intex 10747 Pump Value</t>
    <phoneticPr fontId="1" type="noConversion"/>
  </si>
  <si>
    <t>robbrim-71</t>
  </si>
  <si>
    <t>Robert Brimigion</t>
  </si>
  <si>
    <t>rbrimigion462@gmail.com</t>
  </si>
  <si>
    <t>+1 804-513-4681</t>
  </si>
  <si>
    <t>richard.rudiger@hotmail.com</t>
  </si>
  <si>
    <t>+1 858-648-8341</t>
  </si>
  <si>
    <t>111-0802575-5240244</t>
  </si>
  <si>
    <t>May27-Jun01</t>
    <phoneticPr fontId="1" type="noConversion"/>
  </si>
  <si>
    <t>ITSPS</t>
    <phoneticPr fontId="1" type="noConversion"/>
  </si>
  <si>
    <t>111-6341764-0849822</t>
  </si>
  <si>
    <t>May26</t>
    <phoneticPr fontId="1" type="noConversion"/>
  </si>
  <si>
    <t>111-3398151-5087465</t>
  </si>
  <si>
    <t>May29</t>
    <phoneticPr fontId="1" type="noConversion"/>
  </si>
  <si>
    <t>sean@skieswest.com</t>
  </si>
  <si>
    <t>+1 970-689-0736</t>
  </si>
  <si>
    <t>rs_short</t>
  </si>
  <si>
    <t>RICHARD SHORTRIDGE</t>
  </si>
  <si>
    <t>Plano Tote 108 QT -- Green</t>
    <phoneticPr fontId="1" type="noConversion"/>
  </si>
  <si>
    <t>Intex Adaptor B</t>
    <phoneticPr fontId="1" type="noConversion"/>
  </si>
  <si>
    <t>yailene perez</t>
  </si>
  <si>
    <t>perezyailene17@gmail.com</t>
  </si>
  <si>
    <t>+1 787-400-2744</t>
  </si>
  <si>
    <t>111-9197828-4650611</t>
  </si>
  <si>
    <t>Amazon</t>
    <phoneticPr fontId="1" type="noConversion"/>
  </si>
  <si>
    <t>Mildred Echevarria</t>
    <phoneticPr fontId="1" type="noConversion"/>
  </si>
  <si>
    <t>ssv6lv</t>
  </si>
  <si>
    <t>Harry Eliades</t>
  </si>
  <si>
    <t>Intex Adaptor A</t>
    <phoneticPr fontId="1" type="noConversion"/>
  </si>
  <si>
    <t>gerito1235</t>
  </si>
  <si>
    <t>Gerardo Galvez</t>
  </si>
  <si>
    <t>+1 424-217-0126</t>
  </si>
  <si>
    <t>marccastle1235@gmail.com</t>
  </si>
  <si>
    <t>1Z79R1220202755937</t>
    <phoneticPr fontId="1" type="noConversion"/>
  </si>
  <si>
    <t>May21</t>
    <phoneticPr fontId="1" type="noConversion"/>
  </si>
  <si>
    <t>factoryfit2011</t>
  </si>
  <si>
    <t>Andrew Hargrove</t>
  </si>
  <si>
    <t>joturc_82</t>
  </si>
  <si>
    <t>John Turcotte</t>
  </si>
  <si>
    <t>111-5574482-8425010</t>
  </si>
  <si>
    <t>May22</t>
    <phoneticPr fontId="1" type="noConversion"/>
  </si>
  <si>
    <t>May28-Jun01</t>
    <phoneticPr fontId="1" type="noConversion"/>
  </si>
  <si>
    <t>dewayne hardison</t>
    <phoneticPr fontId="1" type="noConversion"/>
  </si>
  <si>
    <t>curtain - Tiki</t>
    <phoneticPr fontId="1" type="noConversion"/>
  </si>
  <si>
    <t>Curtain - Square Ring</t>
    <phoneticPr fontId="1" type="noConversion"/>
  </si>
  <si>
    <t>srg-racing</t>
  </si>
  <si>
    <t>Robert Gecevich</t>
  </si>
  <si>
    <t>haynalfamily</t>
  </si>
  <si>
    <t>June Haynal</t>
  </si>
  <si>
    <t>fivestarservice1234@gmail.com</t>
  </si>
  <si>
    <t>+1 917-662-4344</t>
  </si>
  <si>
    <t>johnturcotte1424@icloud.com</t>
  </si>
  <si>
    <t>+1 408-761-0308</t>
  </si>
  <si>
    <t>collwoo0</t>
  </si>
  <si>
    <t>Collette Woodle</t>
  </si>
  <si>
    <t>haynal2000@yahoo.com</t>
  </si>
  <si>
    <t>+1 631-942-2370</t>
  </si>
  <si>
    <t>scoobydoopc@aol.com</t>
  </si>
  <si>
    <t>+1 702-353-9976</t>
  </si>
  <si>
    <t>ahargrove1211@hotmail.com</t>
  </si>
  <si>
    <t>+1 484-633-5815</t>
  </si>
  <si>
    <t>hoplitetactics@gmail.com</t>
  </si>
  <si>
    <t>+1 425-238-6006</t>
  </si>
  <si>
    <t>111-7251777-6636269</t>
  </si>
  <si>
    <t>HOLDANDSTORSGE</t>
  </si>
  <si>
    <t>111-7697476-9553011</t>
  </si>
  <si>
    <t>Samis ship</t>
  </si>
  <si>
    <t>Jun17</t>
    <phoneticPr fontId="1" type="noConversion"/>
  </si>
  <si>
    <t>javus.b23xy2wks ---- PR</t>
    <phoneticPr fontId="1" type="noConversion"/>
  </si>
  <si>
    <t>eggin.matth</t>
  </si>
  <si>
    <t>matthew egginger</t>
  </si>
  <si>
    <t>gobengalsbrooke@yahoo.com</t>
  </si>
  <si>
    <t>+1 740-474-1381</t>
  </si>
  <si>
    <t xml:space="preserve">111-6371116-4757041 </t>
  </si>
  <si>
    <t>111-7251021-5048202</t>
  </si>
  <si>
    <t>111-2739379-1142659</t>
  </si>
  <si>
    <t>1Z9R82E00272856542</t>
    <phoneticPr fontId="1" type="noConversion"/>
  </si>
  <si>
    <t>UPS</t>
    <phoneticPr fontId="1" type="noConversion"/>
  </si>
  <si>
    <t>111-9382018-1077810</t>
  </si>
  <si>
    <t>May27</t>
    <phoneticPr fontId="1" type="noConversion"/>
  </si>
  <si>
    <t>sahricolo_0</t>
  </si>
  <si>
    <t>Sahrie Colon</t>
  </si>
  <si>
    <t>sahriecee@icloud.com</t>
  </si>
  <si>
    <t>+1 720-481-1421</t>
  </si>
  <si>
    <t>czznoodles4u@gmail.com</t>
  </si>
  <si>
    <t>+1 515-230-3738</t>
  </si>
  <si>
    <t>Elizabeth Black</t>
  </si>
  <si>
    <t>lizblacknyc@hotmail.com</t>
  </si>
  <si>
    <t>+1 201-926-6134</t>
  </si>
  <si>
    <t>Hector Serrano</t>
  </si>
  <si>
    <r>
      <t xml:space="preserve">henrflore-0 ----- </t>
    </r>
    <r>
      <rPr>
        <sz val="10"/>
        <color rgb="FFFF0000"/>
        <rFont val="Arial Unicode MS"/>
        <family val="2"/>
        <charset val="136"/>
      </rPr>
      <t>Return</t>
    </r>
    <phoneticPr fontId="1" type="noConversion"/>
  </si>
  <si>
    <t>1Z9766AX0271757377</t>
    <phoneticPr fontId="1" type="noConversion"/>
  </si>
  <si>
    <t>1ZA3170W0278736683</t>
  </si>
  <si>
    <t>9300120111404795931523</t>
    <phoneticPr fontId="1" type="noConversion"/>
  </si>
  <si>
    <t>USPS</t>
    <phoneticPr fontId="1" type="noConversion"/>
  </si>
  <si>
    <t>9300120111404795931639</t>
    <phoneticPr fontId="1" type="noConversion"/>
  </si>
  <si>
    <t>hudnus9</t>
  </si>
  <si>
    <t>Jill Hudnall</t>
  </si>
  <si>
    <t>Jill Hudnallhudnus9205</t>
  </si>
  <si>
    <t>+1 318-422-5339</t>
  </si>
  <si>
    <r>
      <t xml:space="preserve">lizb8297 -- </t>
    </r>
    <r>
      <rPr>
        <sz val="10"/>
        <color rgb="FFFF0000"/>
        <rFont val="Arial Unicode MS"/>
        <family val="2"/>
        <charset val="136"/>
      </rPr>
      <t>Can Requested</t>
    </r>
    <phoneticPr fontId="1" type="noConversion"/>
  </si>
  <si>
    <t>Intex Pool Maintenance Kit</t>
    <phoneticPr fontId="1" type="noConversion"/>
  </si>
  <si>
    <t xml:space="preserve"> </t>
    <phoneticPr fontId="1" type="noConversion"/>
  </si>
  <si>
    <t>hserrano-2012 --------- PR</t>
    <phoneticPr fontId="1" type="noConversion"/>
  </si>
  <si>
    <t>luisss2525@gmail.com</t>
  </si>
  <si>
    <t>+1 787-530-5366</t>
  </si>
  <si>
    <t>Jayson Rivera Silva</t>
  </si>
  <si>
    <t>jaysonsilva26@gmail.com</t>
  </si>
  <si>
    <t>+1 787-535-6429</t>
  </si>
  <si>
    <t>kingsquest919@gmail.com</t>
    <phoneticPr fontId="1" type="noConversion"/>
  </si>
  <si>
    <r>
      <t xml:space="preserve">kingsh  </t>
    </r>
    <r>
      <rPr>
        <sz val="10"/>
        <color rgb="FFFF0000"/>
        <rFont val="Arial Unicode MS"/>
        <family val="2"/>
        <charset val="136"/>
      </rPr>
      <t>NOT FOUND</t>
    </r>
    <phoneticPr fontId="1" type="noConversion"/>
  </si>
  <si>
    <t>111-7623374-6825833</t>
  </si>
  <si>
    <t>May29-Jun02</t>
    <phoneticPr fontId="1" type="noConversion"/>
  </si>
  <si>
    <t>111-0676018-8591401</t>
  </si>
  <si>
    <t>111-0317993-9220256</t>
  </si>
  <si>
    <t>111-7441183-7632253</t>
  </si>
  <si>
    <t>111-9786792-9245068</t>
  </si>
  <si>
    <t>May29-Jun03</t>
    <phoneticPr fontId="1" type="noConversion"/>
  </si>
  <si>
    <t>Curtain - Bamboo Door</t>
    <phoneticPr fontId="1" type="noConversion"/>
  </si>
  <si>
    <t>maripositaazul2012</t>
  </si>
  <si>
    <t>Betsy Estefan</t>
  </si>
  <si>
    <t>111-4858095-5718637</t>
  </si>
  <si>
    <t>Jun02</t>
    <phoneticPr fontId="1" type="noConversion"/>
  </si>
  <si>
    <t>River Colony Trading</t>
  </si>
  <si>
    <t>+1 347-248-0145</t>
  </si>
  <si>
    <t>azaharbell@aol.com</t>
  </si>
  <si>
    <t>monictorre-395</t>
  </si>
  <si>
    <t>Monica Torres</t>
  </si>
  <si>
    <t>moniitorres15@gmail.com</t>
  </si>
  <si>
    <t>+1 760-676-7827</t>
  </si>
  <si>
    <t>1Z838A7V0302834236</t>
    <phoneticPr fontId="1" type="noConversion"/>
  </si>
  <si>
    <t>393086890961</t>
    <phoneticPr fontId="1" type="noConversion"/>
  </si>
  <si>
    <t>Fedex</t>
    <phoneticPr fontId="1" type="noConversion"/>
  </si>
  <si>
    <t>393086889773</t>
    <phoneticPr fontId="1" type="noConversion"/>
  </si>
  <si>
    <t>109022826923</t>
    <phoneticPr fontId="1" type="noConversion"/>
  </si>
  <si>
    <t>Fedex</t>
    <phoneticPr fontId="1" type="noConversion"/>
  </si>
  <si>
    <t>393091989890</t>
    <phoneticPr fontId="1" type="noConversion"/>
  </si>
  <si>
    <t>jenpin_56</t>
  </si>
  <si>
    <t>jenny ramirez</t>
  </si>
  <si>
    <t>jenpinkstar18@live.com</t>
  </si>
  <si>
    <t>+1 360-787-5038</t>
  </si>
  <si>
    <t>111-0556732-8182656</t>
  </si>
  <si>
    <t>WindySuperStore</t>
  </si>
  <si>
    <t>111-6799041-9769065</t>
  </si>
  <si>
    <t>dawedward_7</t>
  </si>
  <si>
    <t>dawn edwards</t>
  </si>
  <si>
    <t>dawn.edwards82@gmail.com</t>
  </si>
  <si>
    <t>+1 325-701-7481</t>
  </si>
  <si>
    <t>Cancelled</t>
    <phoneticPr fontId="1" type="noConversion"/>
  </si>
  <si>
    <t>393091990632</t>
    <phoneticPr fontId="1" type="noConversion"/>
  </si>
  <si>
    <t>Corey Spyra</t>
    <phoneticPr fontId="1" type="noConversion"/>
  </si>
  <si>
    <t>Curtain - Sunset</t>
    <phoneticPr fontId="1" type="noConversion"/>
  </si>
  <si>
    <t>kevhed72</t>
  </si>
  <si>
    <t>Kevin Tvrdik</t>
  </si>
  <si>
    <t>landan marran</t>
  </si>
  <si>
    <t>kevhed2112@gmail.com</t>
  </si>
  <si>
    <t>+1 678-675-2338</t>
  </si>
  <si>
    <t>landanjay@gmail.com</t>
  </si>
  <si>
    <t>+1 806-334-0211</t>
  </si>
  <si>
    <t>393046646988</t>
    <phoneticPr fontId="1" type="noConversion"/>
  </si>
  <si>
    <t>9300120111404801813157</t>
    <phoneticPr fontId="1" type="noConversion"/>
  </si>
  <si>
    <t>1Z8E3Y620399457323</t>
  </si>
  <si>
    <t>111-3752569-8465018</t>
  </si>
  <si>
    <t>Jun18</t>
    <phoneticPr fontId="1" type="noConversion"/>
  </si>
  <si>
    <t>rive.jays  ---------------- PR</t>
    <phoneticPr fontId="1" type="noConversion"/>
  </si>
  <si>
    <t>111-3263655-3951468</t>
  </si>
  <si>
    <t>ITSPS</t>
    <phoneticPr fontId="1" type="noConversion"/>
  </si>
  <si>
    <t>Jun01-04</t>
    <phoneticPr fontId="1" type="noConversion"/>
  </si>
  <si>
    <t>Ord May22</t>
    <phoneticPr fontId="1" type="noConversion"/>
  </si>
  <si>
    <t>111-9258833-0254630</t>
  </si>
  <si>
    <t>Jun01</t>
    <phoneticPr fontId="1" type="noConversion"/>
  </si>
  <si>
    <t>111-9624180-1341829</t>
  </si>
  <si>
    <t>111-5679911-7921049</t>
  </si>
  <si>
    <t>Jun01-03</t>
    <phoneticPr fontId="1" type="noConversion"/>
  </si>
  <si>
    <t>1Z79R1220202757524</t>
  </si>
  <si>
    <t>1Z79R1220202756847</t>
  </si>
  <si>
    <t>RC09</t>
    <phoneticPr fontId="1" type="noConversion"/>
  </si>
  <si>
    <r>
      <t xml:space="preserve">elyyamicruzsantan0-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</si>
  <si>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111-0116485-7187469</t>
  </si>
  <si>
    <t>AZ</t>
    <phoneticPr fontId="1" type="noConversion"/>
  </si>
  <si>
    <t>111-5727248-6303467</t>
  </si>
  <si>
    <t>limahanagifts</t>
  </si>
  <si>
    <t>Limahana Gifts</t>
  </si>
  <si>
    <t>jankev98</t>
  </si>
  <si>
    <t>k gray</t>
  </si>
  <si>
    <t>ecstappr@gmail.com</t>
  </si>
  <si>
    <t>+1 845-544-4129</t>
  </si>
  <si>
    <t>thramu@live.com</t>
  </si>
  <si>
    <t>+1 520-850-5060</t>
  </si>
  <si>
    <t>sctho78</t>
  </si>
  <si>
    <t>Scott Thomas</t>
  </si>
  <si>
    <t>thomassc@myips.org</t>
  </si>
  <si>
    <t>+1 317-217-8636</t>
  </si>
  <si>
    <t>393125821208</t>
    <phoneticPr fontId="1" type="noConversion"/>
  </si>
  <si>
    <t>111-6817140-9008215</t>
  </si>
  <si>
    <t>111-2621784-8977850</t>
  </si>
  <si>
    <t xml:space="preserve">dollbaby328 </t>
  </si>
  <si>
    <t>Dawn Dugan</t>
  </si>
  <si>
    <t>dollbaby328@yahoo.com</t>
  </si>
  <si>
    <t>+1 724-880-3870</t>
  </si>
  <si>
    <t>111-7617005-1693009</t>
  </si>
  <si>
    <t>May28</t>
    <phoneticPr fontId="1" type="noConversion"/>
  </si>
  <si>
    <t>Or May23</t>
    <phoneticPr fontId="1" type="noConversion"/>
  </si>
  <si>
    <t>9300120111404805725876</t>
    <phoneticPr fontId="1" type="noConversion"/>
  </si>
  <si>
    <t>9405511899223757947621</t>
    <phoneticPr fontId="1" type="noConversion"/>
  </si>
  <si>
    <t>ajcmop@gmail.com</t>
  </si>
  <si>
    <t>+1 939-292-7265</t>
  </si>
  <si>
    <t>mikesc_59</t>
  </si>
  <si>
    <t>Michael Commiso</t>
  </si>
  <si>
    <t>mikescoob369@gmail.com</t>
  </si>
  <si>
    <t>+1 609-882-4394</t>
  </si>
  <si>
    <t>Curtain - Mona Lisa</t>
    <phoneticPr fontId="1" type="noConversion"/>
  </si>
  <si>
    <t>1Z79R1220202908683</t>
  </si>
  <si>
    <t>1Z975W420270511034</t>
  </si>
  <si>
    <t>landamarra_0</t>
    <phoneticPr fontId="1" type="noConversion"/>
  </si>
  <si>
    <t>141169424831</t>
    <phoneticPr fontId="1" type="noConversion"/>
  </si>
  <si>
    <t>corey_clark</t>
  </si>
  <si>
    <t>Corey Clark</t>
  </si>
  <si>
    <t>corey.clark109@gmail.com</t>
  </si>
  <si>
    <t>+1 702-994-1811</t>
  </si>
  <si>
    <t>Lismarie Cruz Roman</t>
  </si>
  <si>
    <t>eiramsil86@gmail.com</t>
  </si>
  <si>
    <t>+1 787-412-7733</t>
  </si>
  <si>
    <t>jojogonzo80@gmail.com</t>
  </si>
  <si>
    <t>+1 951-259-3930</t>
  </si>
  <si>
    <t>christinafkillebrew@gmail.com</t>
  </si>
  <si>
    <t>+1 208-512-4074</t>
  </si>
  <si>
    <t>yehsan-75</t>
    <phoneticPr fontId="1" type="noConversion"/>
  </si>
  <si>
    <t>1Z2FX5110295519892</t>
  </si>
  <si>
    <t>1Z2FX5110295605093</t>
  </si>
  <si>
    <t>May26</t>
    <phoneticPr fontId="1" type="noConversion"/>
  </si>
  <si>
    <t>1Z9702V70220970374</t>
  </si>
  <si>
    <t>Refunded Compensation</t>
    <phoneticPr fontId="1" type="noConversion"/>
  </si>
  <si>
    <t>111-3024094-7848250</t>
  </si>
  <si>
    <t>May25-30</t>
    <phoneticPr fontId="1" type="noConversion"/>
  </si>
  <si>
    <t>Ord May23</t>
    <phoneticPr fontId="1" type="noConversion"/>
  </si>
  <si>
    <t>Sims Shop</t>
    <phoneticPr fontId="1" type="noConversion"/>
  </si>
  <si>
    <t>111-4698684-9318660</t>
  </si>
  <si>
    <t>111-8748813-5432227</t>
  </si>
  <si>
    <t>pimpolla86 --------------- PR</t>
    <phoneticPr fontId="1" type="noConversion"/>
  </si>
  <si>
    <t>111-1883119-1214613</t>
  </si>
  <si>
    <t>111-8097581-3029859</t>
  </si>
  <si>
    <t>WindySuperStore</t>
    <phoneticPr fontId="1" type="noConversion"/>
  </si>
  <si>
    <t>111-5837787-2018659</t>
  </si>
  <si>
    <t>Plano Tote - 56 QT -- Black</t>
    <phoneticPr fontId="1" type="noConversion"/>
  </si>
  <si>
    <t>curtfrombrighton@gmail.com</t>
  </si>
  <si>
    <t>+1 801-633-3172</t>
  </si>
  <si>
    <t>curtfrombrighton62</t>
  </si>
  <si>
    <t>curt cheeseman</t>
  </si>
  <si>
    <t>mrtsports</t>
  </si>
  <si>
    <t>Michael R Trevino</t>
  </si>
  <si>
    <t>mrtrevino62@yahoo.com</t>
  </si>
  <si>
    <t>+1 713-922-7878</t>
  </si>
  <si>
    <t>djnelly584</t>
  </si>
  <si>
    <t>Nelson Torres</t>
  </si>
  <si>
    <t>nels584@gmail.com</t>
  </si>
  <si>
    <t>+1 951-473-4543</t>
  </si>
  <si>
    <t>392195240012</t>
    <phoneticPr fontId="1" type="noConversion"/>
  </si>
  <si>
    <t>FedEx</t>
    <phoneticPr fontId="1" type="noConversion"/>
  </si>
  <si>
    <t>anthony fischkelta</t>
  </si>
  <si>
    <r>
      <t xml:space="preserve">antfisch_36 - </t>
    </r>
    <r>
      <rPr>
        <sz val="10"/>
        <color rgb="FFFF0000"/>
        <rFont val="Arial Unicode MS"/>
        <family val="2"/>
        <charset val="136"/>
      </rPr>
      <t>Can after ord</t>
    </r>
    <phoneticPr fontId="1" type="noConversion"/>
  </si>
  <si>
    <t>papito1418angel</t>
  </si>
  <si>
    <t>Angel Sanchez</t>
  </si>
  <si>
    <t>papito1418@gmail.com</t>
  </si>
  <si>
    <t>+1 407-310-4066</t>
  </si>
  <si>
    <t>Cancelled by Buyer</t>
    <phoneticPr fontId="1" type="noConversion"/>
  </si>
  <si>
    <t>Curtain - Color Wave</t>
    <phoneticPr fontId="1" type="noConversion"/>
  </si>
  <si>
    <t>lhsirloin_3</t>
  </si>
  <si>
    <t>lincoln hinzman</t>
  </si>
  <si>
    <t>lhsirloin@gmail.com</t>
  </si>
  <si>
    <t>+1 319-551-0559</t>
  </si>
  <si>
    <t>Curtain - Bookcase</t>
    <phoneticPr fontId="1" type="noConversion"/>
  </si>
  <si>
    <t>alanmanley8@gmail.com</t>
  </si>
  <si>
    <t>+1 618-771-7011</t>
  </si>
  <si>
    <t>alamanle_0</t>
  </si>
  <si>
    <t>Alan Manley</t>
  </si>
  <si>
    <t>blugirl111</t>
  </si>
  <si>
    <t>Linda Beansworth</t>
  </si>
  <si>
    <t>dmsmachine</t>
  </si>
  <si>
    <t>dennis story</t>
  </si>
  <si>
    <t>budda_050</t>
  </si>
  <si>
    <t>edwin hughes</t>
  </si>
  <si>
    <t>jakenjonsmom2</t>
  </si>
  <si>
    <t>elynieves47@gmail.com</t>
  </si>
  <si>
    <t>+1 787-996-1303</t>
  </si>
  <si>
    <t>esserc1967@gmail.com</t>
  </si>
  <si>
    <t>+1 715-213-3477</t>
  </si>
  <si>
    <t>Intex Adaptor B</t>
    <phoneticPr fontId="1" type="noConversion"/>
  </si>
  <si>
    <t>budda_050@yahoo.com</t>
  </si>
  <si>
    <t>+1 254-433-9951</t>
  </si>
  <si>
    <t>dmsmachine@cinci.rr.com</t>
  </si>
  <si>
    <t>+1 937-554-1650</t>
  </si>
  <si>
    <t>beccaboonie@gmail.com</t>
  </si>
  <si>
    <t>+1 818-517-9006</t>
  </si>
  <si>
    <t>kahaw_5365</t>
  </si>
  <si>
    <t>Karen Hawkins</t>
  </si>
  <si>
    <t>orlando libreros</t>
  </si>
  <si>
    <r>
      <t xml:space="preserve">orloli_l8g0tmfynq - </t>
    </r>
    <r>
      <rPr>
        <sz val="10"/>
        <color rgb="FFFF0000"/>
        <rFont val="Arial Unicode MS"/>
        <family val="2"/>
        <charset val="136"/>
      </rPr>
      <t>Can aft ord</t>
    </r>
    <phoneticPr fontId="1" type="noConversion"/>
  </si>
  <si>
    <t>nyink1978</t>
  </si>
  <si>
    <t>Jason Sommeso</t>
  </si>
  <si>
    <t>shaq48mj</t>
  </si>
  <si>
    <t>michael joseph</t>
  </si>
  <si>
    <t>donnaleah</t>
  </si>
  <si>
    <t>DONNA L GRIMES</t>
  </si>
  <si>
    <t>dlg0827@yahoo.com</t>
  </si>
  <si>
    <t>+1 239-980-0794</t>
  </si>
  <si>
    <t>shaq48mj@gmail.com</t>
  </si>
  <si>
    <t>+1 787-550-6733</t>
  </si>
  <si>
    <t>jsommeso@gmail.com</t>
  </si>
  <si>
    <t>+1 631-987-7901</t>
  </si>
  <si>
    <t>khawkins6827@gmail.com</t>
  </si>
  <si>
    <t>+1 573-783-9119</t>
  </si>
  <si>
    <t>Omar Sanchez</t>
  </si>
  <si>
    <t>omar_01@me.com</t>
  </si>
  <si>
    <t>+1 949-922-4280</t>
  </si>
  <si>
    <t>ajc447</t>
  </si>
  <si>
    <t>sandy choo</t>
  </si>
  <si>
    <t>109022899046</t>
    <phoneticPr fontId="1" type="noConversion"/>
  </si>
  <si>
    <t>Refunded</t>
    <phoneticPr fontId="1" type="noConversion"/>
  </si>
  <si>
    <t>Cancelled Footlocker</t>
    <phoneticPr fontId="1" type="noConversion"/>
  </si>
  <si>
    <t>111-0799060-2019413</t>
  </si>
  <si>
    <t>May31</t>
    <phoneticPr fontId="1" type="noConversion"/>
  </si>
  <si>
    <t>111-7655379-7329804</t>
  </si>
  <si>
    <t>111-5992527-6734630</t>
  </si>
  <si>
    <t>111-3359348-3890654</t>
  </si>
  <si>
    <t>111-6999212-6607401</t>
  </si>
  <si>
    <t>Curtain - Mona Lisa</t>
    <phoneticPr fontId="1" type="noConversion"/>
  </si>
  <si>
    <t>lilgunner1985</t>
  </si>
  <si>
    <t>george mikels</t>
  </si>
  <si>
    <t>Kevin Radcliffe</t>
  </si>
  <si>
    <t>music96</t>
  </si>
  <si>
    <t>Guy Music</t>
  </si>
  <si>
    <t>kebel-66</t>
  </si>
  <si>
    <t>Kenny Belcher</t>
  </si>
  <si>
    <t>Nieves Noel</t>
    <phoneticPr fontId="1" type="noConversion"/>
  </si>
  <si>
    <t>nievenoe-0 ------------- PR</t>
    <phoneticPr fontId="1" type="noConversion"/>
  </si>
  <si>
    <t>lilgunner85@gmail.com</t>
  </si>
  <si>
    <t>+1 304-559-2883</t>
  </si>
  <si>
    <t>kradcliffe87@hotmail.com</t>
  </si>
  <si>
    <t>+1 732-241-1929</t>
  </si>
  <si>
    <t>kjbelcher73@gmail.com</t>
  </si>
  <si>
    <t>+1 304-541-1741</t>
  </si>
  <si>
    <t>slc1051@gmail.com</t>
  </si>
  <si>
    <t>+1 775-232-7121</t>
  </si>
  <si>
    <t>jesmusic@gmail.com</t>
  </si>
  <si>
    <t>+1 402-981-3131</t>
  </si>
  <si>
    <t>111-1441962-5350617</t>
  </si>
  <si>
    <t>111-6001382-6289804</t>
  </si>
  <si>
    <t>Kaizen8</t>
  </si>
  <si>
    <t>funhobby5</t>
  </si>
  <si>
    <t>Tabatha Santanna</t>
  </si>
  <si>
    <t>tabsantanna@gmail.com</t>
  </si>
  <si>
    <t>+1 203-918-9714</t>
  </si>
  <si>
    <t>111-9182835-5981804</t>
  </si>
  <si>
    <t>111-3838008-8433017</t>
  </si>
  <si>
    <t>SeasonWide</t>
    <phoneticPr fontId="1" type="noConversion"/>
  </si>
  <si>
    <t>May27-28</t>
    <phoneticPr fontId="1" type="noConversion"/>
  </si>
  <si>
    <t>111-5906141-3309024</t>
  </si>
  <si>
    <t>Ord May12</t>
    <phoneticPr fontId="1" type="noConversion"/>
  </si>
  <si>
    <t>111-6569409-8662621</t>
  </si>
  <si>
    <t>111-9495973-4398649</t>
  </si>
  <si>
    <t>May30</t>
    <phoneticPr fontId="1" type="noConversion"/>
  </si>
  <si>
    <t>katia_negron@yahoo.com</t>
  </si>
  <si>
    <t>+1 787-321-4805</t>
  </si>
  <si>
    <t>111-4724136-8237801</t>
  </si>
  <si>
    <t>May29</t>
    <phoneticPr fontId="1" type="noConversion"/>
  </si>
  <si>
    <t>111-0703172-7108246</t>
  </si>
  <si>
    <t>111-8862895-0494651</t>
  </si>
  <si>
    <t>May24-29</t>
    <phoneticPr fontId="1" type="noConversion"/>
  </si>
  <si>
    <t>May25 del</t>
    <phoneticPr fontId="1" type="noConversion"/>
  </si>
  <si>
    <t>9374889701090508551003</t>
    <phoneticPr fontId="1" type="noConversion"/>
  </si>
  <si>
    <t>9361289725009173980401</t>
    <phoneticPr fontId="1" type="noConversion"/>
  </si>
  <si>
    <t>9300120111404813379764</t>
    <phoneticPr fontId="1" type="noConversion"/>
  </si>
  <si>
    <t>111-6814212-4190606</t>
  </si>
  <si>
    <t>CAT</t>
    <phoneticPr fontId="1" type="noConversion"/>
  </si>
  <si>
    <t>misty clawson</t>
  </si>
  <si>
    <t>falcoln5@gmail.com</t>
  </si>
  <si>
    <t>+1 724-762-8516</t>
  </si>
  <si>
    <t>adylor_m6sxqe0 ------ PR</t>
    <phoneticPr fontId="1" type="noConversion"/>
  </si>
  <si>
    <t>davinorman_9</t>
  </si>
  <si>
    <t>David Normand</t>
  </si>
  <si>
    <t>joemjiminez@yahoo.com</t>
  </si>
  <si>
    <t>+1 808-292-9553</t>
  </si>
  <si>
    <t>normandfamily@metrocast.net</t>
  </si>
  <si>
    <t>+1 603-581-8871</t>
  </si>
  <si>
    <t>mikcaspe-2</t>
  </si>
  <si>
    <t>mike Casper</t>
  </si>
  <si>
    <t>marimiska</t>
  </si>
  <si>
    <t>Marianna Slaughter</t>
  </si>
  <si>
    <t>mike.casper4@gmail.com</t>
  </si>
  <si>
    <t>+1 269-325-2709</t>
  </si>
  <si>
    <t>claaram-11</t>
  </si>
  <si>
    <t>Claudia Arambula</t>
  </si>
  <si>
    <t>arambulaclaudia@yahoo.com</t>
  </si>
  <si>
    <t>+1 951-445-7519</t>
  </si>
  <si>
    <t>mariannaslaughter@gmail.com</t>
  </si>
  <si>
    <t>+1 678-409-8030</t>
  </si>
  <si>
    <t>111-7672079-3050636</t>
  </si>
  <si>
    <t>Ju01-04</t>
    <phoneticPr fontId="1" type="noConversion"/>
  </si>
  <si>
    <t xml:space="preserve">186428262006
</t>
    <phoneticPr fontId="1" type="noConversion"/>
  </si>
  <si>
    <t>chriheimb_82</t>
    <phoneticPr fontId="1" type="noConversion"/>
  </si>
  <si>
    <t>1Z8E3Y620392540049</t>
    <phoneticPr fontId="1" type="noConversion"/>
  </si>
  <si>
    <t>1Z8E3Y620393273416</t>
    <phoneticPr fontId="1" type="noConversion"/>
  </si>
  <si>
    <t>UPS</t>
    <phoneticPr fontId="1" type="noConversion"/>
  </si>
  <si>
    <t>TBA043935333101</t>
  </si>
  <si>
    <t>AL</t>
    <phoneticPr fontId="1" type="noConversion"/>
  </si>
  <si>
    <t>1Z83WV060323039783</t>
    <phoneticPr fontId="1" type="noConversion"/>
  </si>
  <si>
    <t>manueljperez319@gmail.com</t>
  </si>
  <si>
    <t>+1 787-463-4333</t>
  </si>
  <si>
    <t>QTY</t>
    <phoneticPr fontId="1" type="noConversion"/>
  </si>
  <si>
    <t>morse98</t>
  </si>
  <si>
    <t>angela morse</t>
  </si>
  <si>
    <t>matthritz27@hotmail.com</t>
  </si>
  <si>
    <t>+1 501-317-8540</t>
  </si>
  <si>
    <t>matthritz-27</t>
  </si>
  <si>
    <t>Matt Hritz</t>
  </si>
  <si>
    <t>Megan Raquel</t>
  </si>
  <si>
    <t>eligonzale41</t>
  </si>
  <si>
    <t>elio gonzalez</t>
  </si>
  <si>
    <t>Plano Tote - 56 QT -- Black</t>
    <phoneticPr fontId="1" type="noConversion"/>
  </si>
  <si>
    <t>meggraquel@gmail.com</t>
  </si>
  <si>
    <t>+1 808-640-7922</t>
  </si>
  <si>
    <t>zabdielito@gmail.com</t>
  </si>
  <si>
    <t>+1 787-618-1221</t>
  </si>
  <si>
    <t>elio_jr@hotmail.com</t>
  </si>
  <si>
    <t>+1 954-651-2757</t>
  </si>
  <si>
    <t>111-0219703-3756262</t>
  </si>
  <si>
    <t>Jun02</t>
    <phoneticPr fontId="1" type="noConversion"/>
  </si>
  <si>
    <t>Buy a Little Sunshine</t>
    <phoneticPr fontId="1" type="noConversion"/>
  </si>
  <si>
    <t>186428378144</t>
    <phoneticPr fontId="1" type="noConversion"/>
  </si>
  <si>
    <t>186428378420</t>
    <phoneticPr fontId="1" type="noConversion"/>
  </si>
  <si>
    <t>186428378590</t>
    <phoneticPr fontId="1" type="noConversion"/>
  </si>
  <si>
    <t>9361289724009189836878</t>
    <phoneticPr fontId="1" type="noConversion"/>
  </si>
  <si>
    <t>TBA044220943801</t>
  </si>
  <si>
    <t>AL</t>
    <phoneticPr fontId="1" type="noConversion"/>
  </si>
  <si>
    <t>tonytacklebox</t>
  </si>
  <si>
    <t>Tony Sunken</t>
  </si>
  <si>
    <t>darthny</t>
  </si>
  <si>
    <t>Jeffrey Stenger</t>
  </si>
  <si>
    <t>111-3564578-8249815</t>
  </si>
  <si>
    <t>May28-Jun02</t>
    <phoneticPr fontId="1" type="noConversion"/>
  </si>
  <si>
    <t>tonytackle@hotmail.com</t>
  </si>
  <si>
    <t>+1 515-571-9431</t>
  </si>
  <si>
    <t>111-7791527-4899445</t>
  </si>
  <si>
    <t>111-7541691-1379438</t>
  </si>
  <si>
    <t>Jun02-04</t>
    <phoneticPr fontId="1" type="noConversion"/>
  </si>
  <si>
    <t>111-6487524-7824229</t>
  </si>
  <si>
    <t>109022947247</t>
    <phoneticPr fontId="1" type="noConversion"/>
  </si>
  <si>
    <t>186428430109</t>
    <phoneticPr fontId="1" type="noConversion"/>
  </si>
  <si>
    <t>Jun05-07</t>
    <phoneticPr fontId="1" type="noConversion"/>
  </si>
  <si>
    <t>HOLDANDSTORAGE</t>
  </si>
  <si>
    <t>111-8895464-6773846</t>
  </si>
  <si>
    <t>Jun04-09</t>
    <phoneticPr fontId="1" type="noConversion"/>
  </si>
  <si>
    <t>111-7015090-3781838</t>
  </si>
  <si>
    <t>Jun03</t>
    <phoneticPr fontId="1" type="noConversion"/>
  </si>
  <si>
    <t>SeasonWide</t>
    <phoneticPr fontId="1" type="noConversion"/>
  </si>
  <si>
    <t>111-2633743-0349819</t>
  </si>
  <si>
    <t>hallal-kp6sdoeb3</t>
  </si>
  <si>
    <t>Allon Howell</t>
  </si>
  <si>
    <t>stengerje@juno.com</t>
  </si>
  <si>
    <t>+1 516-858-6943</t>
  </si>
  <si>
    <t>allonhowell@gmail.com</t>
  </si>
  <si>
    <t>+1 931-316-1107</t>
  </si>
  <si>
    <t>111-3409834-8081833</t>
  </si>
  <si>
    <t>9361289724009190423838</t>
    <phoneticPr fontId="1" type="noConversion"/>
  </si>
  <si>
    <t>9374889683090537050121</t>
    <phoneticPr fontId="1" type="noConversion"/>
  </si>
  <si>
    <t>393210754630</t>
    <phoneticPr fontId="1" type="noConversion"/>
  </si>
  <si>
    <t>angiedmorse@hotmail.com</t>
  </si>
  <si>
    <t>+1 580-242-8613</t>
  </si>
  <si>
    <t>393227975776</t>
    <phoneticPr fontId="1" type="noConversion"/>
  </si>
  <si>
    <t>111-6771169-5839422</t>
  </si>
  <si>
    <t>9374869903504944034115</t>
    <phoneticPr fontId="1" type="noConversion"/>
  </si>
  <si>
    <t>DHLE</t>
    <phoneticPr fontId="1" type="noConversion"/>
  </si>
  <si>
    <t>9205590213423820032763</t>
    <phoneticPr fontId="1" type="noConversion"/>
  </si>
  <si>
    <t>US Weight 20 lb</t>
    <phoneticPr fontId="1" type="noConversion"/>
  </si>
  <si>
    <t>relm3767</t>
  </si>
  <si>
    <t>Ronnie Elmore</t>
  </si>
  <si>
    <t>9374889702090588152854</t>
    <phoneticPr fontId="1" type="noConversion"/>
  </si>
  <si>
    <t>9405511899223744315617</t>
    <phoneticPr fontId="1" type="noConversion"/>
  </si>
  <si>
    <t>9300120111404825272237</t>
    <phoneticPr fontId="1" type="noConversion"/>
  </si>
  <si>
    <t>aoco2693</t>
  </si>
  <si>
    <t>Adam O'Connor</t>
  </si>
  <si>
    <t>katc_us_iv40dc056</t>
  </si>
  <si>
    <t>Katelynn Cogburn</t>
  </si>
  <si>
    <t>Curtain - Chakra</t>
    <phoneticPr fontId="1" type="noConversion"/>
  </si>
  <si>
    <t>dica_742@hotmail.com</t>
  </si>
  <si>
    <t>+1 912-659-2183</t>
  </si>
  <si>
    <t>adam1000o@aol.com</t>
  </si>
  <si>
    <t>+1 570-584-6304</t>
  </si>
  <si>
    <t>AbeadedCurtain</t>
    <phoneticPr fontId="1" type="noConversion"/>
  </si>
  <si>
    <t>katelynncogburn13@gmail.com</t>
  </si>
  <si>
    <t>+1 870-828-8921</t>
  </si>
  <si>
    <t>neiabi-7</t>
  </si>
  <si>
    <t>Neil abis</t>
  </si>
  <si>
    <t>neilabis@yahoo.com</t>
  </si>
  <si>
    <t>+1 702-436-5943</t>
  </si>
  <si>
    <t>TBA044289701501</t>
  </si>
  <si>
    <t>1ZY4V3640314003845</t>
  </si>
  <si>
    <t>TBA044975396501</t>
  </si>
  <si>
    <t>May29-30 New</t>
    <phoneticPr fontId="1" type="noConversion"/>
  </si>
  <si>
    <t>9374889670090477076782</t>
    <phoneticPr fontId="1" type="noConversion"/>
  </si>
  <si>
    <t>TBA045561970001</t>
  </si>
  <si>
    <t>111-6429005-5342604</t>
  </si>
  <si>
    <t>Jun04-08</t>
    <phoneticPr fontId="1" type="noConversion"/>
  </si>
  <si>
    <t>111-8777961-2050653</t>
  </si>
  <si>
    <t>piscet_21</t>
  </si>
  <si>
    <t>Bobbi Blunk</t>
  </si>
  <si>
    <t>nwcguru</t>
  </si>
  <si>
    <t>Larry King</t>
  </si>
  <si>
    <t>anthony gonzalez</t>
  </si>
  <si>
    <t>anthonygonzalez955@gmail.com</t>
  </si>
  <si>
    <t>+1 787-568-0341</t>
  </si>
  <si>
    <t>piscettarius@yahoo.com</t>
  </si>
  <si>
    <t>+1 419-810-4190</t>
  </si>
  <si>
    <t>buckhunter61@charter.net</t>
  </si>
  <si>
    <t>+1 231-357-3188</t>
  </si>
  <si>
    <t>9374889691091159403691</t>
    <phoneticPr fontId="1" type="noConversion"/>
  </si>
  <si>
    <t>111-8243816-7301066</t>
  </si>
  <si>
    <t>Jun24</t>
    <phoneticPr fontId="1" type="noConversion"/>
  </si>
  <si>
    <t>111-6984625-4433046</t>
  </si>
  <si>
    <t>Intex 10747 X2</t>
    <phoneticPr fontId="1" type="noConversion"/>
  </si>
  <si>
    <t>Vickie Thomas</t>
  </si>
  <si>
    <t>111-8224469-2787411</t>
  </si>
  <si>
    <t>Jun03-04</t>
    <phoneticPr fontId="1" type="noConversion"/>
  </si>
  <si>
    <t>die-5022</t>
  </si>
  <si>
    <t>You should</t>
  </si>
  <si>
    <t>diehlgj@gmail.com</t>
  </si>
  <si>
    <t>+1 407-385-2215</t>
  </si>
  <si>
    <t>111-0856627-1842663</t>
  </si>
  <si>
    <t>111-5198502-6093014</t>
  </si>
  <si>
    <t>US Weight</t>
    <phoneticPr fontId="1" type="noConversion"/>
  </si>
  <si>
    <t>111-5884380-2427403</t>
  </si>
  <si>
    <t>Jun04</t>
    <phoneticPr fontId="1" type="noConversion"/>
  </si>
  <si>
    <t>yailenpere0 -------------- PR</t>
    <phoneticPr fontId="1" type="noConversion"/>
  </si>
  <si>
    <t>Jun16</t>
    <phoneticPr fontId="1" type="noConversion"/>
  </si>
  <si>
    <t>UPS SurePost</t>
  </si>
  <si>
    <t>1Z84386RYN00276674</t>
  </si>
  <si>
    <t>1Z3017E30169044235</t>
    <phoneticPr fontId="1" type="noConversion"/>
  </si>
  <si>
    <t>9405511899223740155743</t>
    <phoneticPr fontId="1" type="noConversion"/>
  </si>
  <si>
    <t>9405511899223740155804</t>
    <phoneticPr fontId="1" type="noConversion"/>
  </si>
  <si>
    <t>9405511899223740155941</t>
    <phoneticPr fontId="1" type="noConversion"/>
  </si>
  <si>
    <r>
      <t xml:space="preserve">agonz30 --------------- PR </t>
    </r>
    <r>
      <rPr>
        <b/>
        <sz val="10"/>
        <color rgb="FFFF0000"/>
        <rFont val="Arial Unicode MS"/>
        <family val="2"/>
        <charset val="136"/>
      </rPr>
      <t>C</t>
    </r>
    <phoneticPr fontId="1" type="noConversion"/>
  </si>
  <si>
    <t>G J Souder</t>
  </si>
  <si>
    <t>hossfly1898@yahoo.com</t>
  </si>
  <si>
    <t>+1 606-792-8712</t>
  </si>
  <si>
    <t>kaok_43</t>
  </si>
  <si>
    <t>Karen Okey</t>
  </si>
  <si>
    <t>karenokey777@gmail.com</t>
  </si>
  <si>
    <t>+1 818-400-2426</t>
  </si>
  <si>
    <t>111-8364098-6493849</t>
  </si>
  <si>
    <t>Jun03-05</t>
    <phoneticPr fontId="1" type="noConversion"/>
  </si>
  <si>
    <r>
      <t xml:space="preserve">victho-7284 -- </t>
    </r>
    <r>
      <rPr>
        <sz val="10"/>
        <color rgb="FFFF0000"/>
        <rFont val="Arial Unicode MS"/>
        <family val="2"/>
        <charset val="136"/>
      </rPr>
      <t>Can Requested</t>
    </r>
    <phoneticPr fontId="1" type="noConversion"/>
  </si>
  <si>
    <r>
      <t xml:space="preserve">richirudige0 --- </t>
    </r>
    <r>
      <rPr>
        <sz val="10"/>
        <color rgb="FFFF0000"/>
        <rFont val="Arial Unicode MS"/>
        <family val="2"/>
        <charset val="136"/>
      </rPr>
      <t>Return Req</t>
    </r>
    <phoneticPr fontId="1" type="noConversion"/>
  </si>
  <si>
    <t>606_souder</t>
    <phoneticPr fontId="1" type="noConversion"/>
  </si>
  <si>
    <r>
      <t xml:space="preserve">dalproperties6 -- </t>
    </r>
    <r>
      <rPr>
        <sz val="10"/>
        <color rgb="FFFF0000"/>
        <rFont val="Arial Unicode MS"/>
        <family val="2"/>
        <charset val="136"/>
      </rPr>
      <t>Return Req</t>
    </r>
    <phoneticPr fontId="1" type="noConversion"/>
  </si>
  <si>
    <t>Ian Hernandez</t>
  </si>
  <si>
    <t>yuyisyeya</t>
  </si>
  <si>
    <t>YURI MUNOZ</t>
  </si>
  <si>
    <t>yurimunoz13@gmail.com</t>
  </si>
  <si>
    <t>+1 505-459-3817</t>
  </si>
  <si>
    <t>1Z9702V70221139600</t>
    <phoneticPr fontId="1" type="noConversion"/>
  </si>
  <si>
    <t>9274890984085702064754</t>
    <phoneticPr fontId="1" type="noConversion"/>
  </si>
  <si>
    <t>TBA046017219901</t>
  </si>
  <si>
    <t>111-2124308-1589054</t>
  </si>
  <si>
    <t>'9205590213425906750653</t>
    <phoneticPr fontId="1" type="noConversion"/>
  </si>
  <si>
    <r>
      <t xml:space="preserve">he-iher-xahewg -- </t>
    </r>
    <r>
      <rPr>
        <sz val="10"/>
        <color rgb="FFFF0000"/>
        <rFont val="Arial Unicode MS"/>
        <family val="2"/>
        <charset val="136"/>
      </rPr>
      <t>Cancelled</t>
    </r>
    <phoneticPr fontId="1" type="noConversion"/>
  </si>
  <si>
    <t>111-5032361-3810624</t>
  </si>
  <si>
    <t>May31-Jun03</t>
    <phoneticPr fontId="1" type="noConversion"/>
  </si>
  <si>
    <t>111-0004955-1524276</t>
  </si>
  <si>
    <t>May30-Jun04</t>
    <phoneticPr fontId="1" type="noConversion"/>
  </si>
  <si>
    <t>111-1079970-6521016</t>
  </si>
  <si>
    <t>Jun05-10</t>
    <phoneticPr fontId="1" type="noConversion"/>
  </si>
  <si>
    <t>111-0128687-7550602</t>
  </si>
  <si>
    <t>111-7242443-9894639</t>
  </si>
  <si>
    <t>111-8421961-3094627</t>
  </si>
  <si>
    <t>Jun05-09</t>
    <phoneticPr fontId="1" type="noConversion"/>
  </si>
  <si>
    <t>111-8551830-4764254</t>
  </si>
  <si>
    <t>skellytor77</t>
  </si>
  <si>
    <t>Kelly White</t>
  </si>
  <si>
    <t>13immortals@gmail.com</t>
  </si>
  <si>
    <t>+1 775-232-8417</t>
  </si>
  <si>
    <t>lancasterarizona</t>
  </si>
  <si>
    <t>carlal@monterreytile.com</t>
  </si>
  <si>
    <t>+1 480-797-3820</t>
  </si>
  <si>
    <t>Carla Lancaster</t>
  </si>
  <si>
    <t>Katia Negron Velez</t>
    <phoneticPr fontId="1" type="noConversion"/>
  </si>
  <si>
    <t>Manuel Perez</t>
    <phoneticPr fontId="1" type="noConversion"/>
  </si>
  <si>
    <t>May30-Jun01</t>
    <phoneticPr fontId="1" type="noConversion"/>
  </si>
  <si>
    <t>fredd_2521</t>
  </si>
  <si>
    <t>Nicomedes Binet</t>
  </si>
  <si>
    <t>freddy2359@aol.com</t>
  </si>
  <si>
    <t>+1 646-752-0236</t>
  </si>
  <si>
    <t>pampero</t>
  </si>
  <si>
    <t>Sue Gorski</t>
  </si>
  <si>
    <t>suegorski55@gmail.com</t>
  </si>
  <si>
    <t>+1 828-342-4362</t>
  </si>
  <si>
    <t>andreinramire_5</t>
  </si>
  <si>
    <t>Andreina Ramirez</t>
  </si>
  <si>
    <t>andreina2290@gmail.com</t>
  </si>
  <si>
    <t>+1 908-462-4933</t>
  </si>
  <si>
    <t>393310195306</t>
    <phoneticPr fontId="1" type="noConversion"/>
  </si>
  <si>
    <t>393313252912</t>
    <phoneticPr fontId="1" type="noConversion"/>
  </si>
  <si>
    <t>393313250130</t>
    <phoneticPr fontId="1" type="noConversion"/>
  </si>
  <si>
    <t>TBA046876904701</t>
    <phoneticPr fontId="1" type="noConversion"/>
  </si>
  <si>
    <t>141166877859</t>
    <phoneticPr fontId="1" type="noConversion"/>
  </si>
  <si>
    <t>141166878086</t>
    <phoneticPr fontId="1" type="noConversion"/>
  </si>
  <si>
    <t>snakeeye42</t>
  </si>
  <si>
    <t>steven rice</t>
  </si>
  <si>
    <t>stevenr42@live.com</t>
  </si>
  <si>
    <t>+1 502-523-5984</t>
  </si>
  <si>
    <t>guitarman10_1</t>
  </si>
  <si>
    <t>Randy Elsbury</t>
  </si>
  <si>
    <t>pedricris2013</t>
  </si>
  <si>
    <t>True Cork Holder - Barrel</t>
    <phoneticPr fontId="1" type="noConversion"/>
  </si>
  <si>
    <t>midnightrider4@mchsi.com</t>
  </si>
  <si>
    <t>+1 309-848-0059</t>
  </si>
  <si>
    <t>tawni_bouch</t>
  </si>
  <si>
    <t>Amanda Sheeler</t>
  </si>
  <si>
    <t>tawnibouch@gmail.com</t>
  </si>
  <si>
    <t>+1 301-697-4928</t>
  </si>
  <si>
    <t>sparkie23r@hotmail.com</t>
  </si>
  <si>
    <t>+1 417-876-3121</t>
  </si>
  <si>
    <t>sparkietwenty3</t>
  </si>
  <si>
    <t>Ron Snodgrass</t>
  </si>
  <si>
    <t>HomeX - Cork Holder Bird Nest</t>
    <phoneticPr fontId="1" type="noConversion"/>
  </si>
  <si>
    <t>Intex Skimmer</t>
    <phoneticPr fontId="1" type="noConversion"/>
  </si>
  <si>
    <t>dantechapin</t>
  </si>
  <si>
    <t>francisco paz</t>
  </si>
  <si>
    <t>inexyser@gmail.com</t>
  </si>
  <si>
    <t>+1 310-654-8676</t>
  </si>
  <si>
    <t>VM</t>
    <phoneticPr fontId="1" type="noConversion"/>
  </si>
  <si>
    <t>111-0912358-1049052</t>
  </si>
  <si>
    <t>silverdollar822</t>
  </si>
  <si>
    <t>Lori Larson</t>
  </si>
  <si>
    <t>ljl.1960@gmail.com</t>
  </si>
  <si>
    <t>+1 507-833-5891</t>
  </si>
  <si>
    <t>brat_pau</t>
  </si>
  <si>
    <t>Paul Bratz</t>
  </si>
  <si>
    <t>paulbratz77@hotmail.com</t>
  </si>
  <si>
    <t>+1 920-342-9023</t>
  </si>
  <si>
    <t>Jacob Keen</t>
  </si>
  <si>
    <t>keenjacob98@gmail.com</t>
  </si>
  <si>
    <t>+1 920-821-7278</t>
  </si>
  <si>
    <t>jebeal0</t>
  </si>
  <si>
    <t>Jen Beall</t>
  </si>
  <si>
    <t>lorru_2</t>
  </si>
  <si>
    <t>Lorenzo Ruiz</t>
  </si>
  <si>
    <t>lorenzoruiz0609@gmail.com</t>
  </si>
  <si>
    <t>+1 224-402-5222</t>
  </si>
  <si>
    <t>ballh@optonline.net</t>
  </si>
  <si>
    <t>+1 973-951-8469</t>
  </si>
  <si>
    <t>hotpinkjen80@gmail.com</t>
  </si>
  <si>
    <t>+1 724-454-1799</t>
  </si>
  <si>
    <t>sparkycarrie77-7</t>
  </si>
  <si>
    <t>Paul Sparkman</t>
  </si>
  <si>
    <t>sparkycarrie77@hotmail.com</t>
  </si>
  <si>
    <t>+1 928-303-9259</t>
  </si>
  <si>
    <t>1Z82V99Y0202347402</t>
  </si>
  <si>
    <t>111-7259386-8255455</t>
  </si>
  <si>
    <t>Jul02-08</t>
    <phoneticPr fontId="1" type="noConversion"/>
  </si>
  <si>
    <t>111-2847956-7869015</t>
  </si>
  <si>
    <t>US Weight</t>
    <phoneticPr fontId="1" type="noConversion"/>
  </si>
  <si>
    <t>111-6037965-6081028</t>
  </si>
  <si>
    <t>111-7471309-0336250</t>
  </si>
  <si>
    <t>Jun08-11</t>
    <phoneticPr fontId="1" type="noConversion"/>
  </si>
  <si>
    <t>111-3768592-8141805</t>
  </si>
  <si>
    <t>TBA046242966301</t>
  </si>
  <si>
    <t>collwoo0</t>
    <phoneticPr fontId="1" type="noConversion"/>
  </si>
  <si>
    <t xml:space="preserve">1Z3017E20369164701 </t>
  </si>
  <si>
    <t>TBA046762341201</t>
  </si>
  <si>
    <t>TBA046799845801</t>
  </si>
  <si>
    <t>393327356641</t>
    <phoneticPr fontId="1" type="noConversion"/>
  </si>
  <si>
    <t>111-4646977-3447447</t>
  </si>
  <si>
    <t>vwafolks</t>
  </si>
  <si>
    <t>Vern Ainslie</t>
  </si>
  <si>
    <t>vernslie@aol.com</t>
  </si>
  <si>
    <t>+1 908-399-2144</t>
  </si>
  <si>
    <t>Mayra</t>
  </si>
  <si>
    <t>mayrapremier@gmail.com</t>
  </si>
  <si>
    <t>+1 787-585-4242</t>
  </si>
  <si>
    <t>111-2186715-6239412</t>
  </si>
  <si>
    <t>Jun08-10</t>
    <phoneticPr fontId="1" type="noConversion"/>
  </si>
  <si>
    <t>MyQuickBuy</t>
    <phoneticPr fontId="1" type="noConversion"/>
  </si>
  <si>
    <r>
      <t>jake-9556 -------</t>
    </r>
    <r>
      <rPr>
        <sz val="10"/>
        <color rgb="FFFF0000"/>
        <rFont val="Arial Unicode MS"/>
        <family val="2"/>
        <charset val="136"/>
      </rPr>
      <t xml:space="preserve"> Cancel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</si>
  <si>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5greenspeace</t>
  </si>
  <si>
    <t>William Green</t>
  </si>
  <si>
    <t>green2709@comcast.net</t>
  </si>
  <si>
    <t>+1 215-289-8114</t>
  </si>
  <si>
    <t>Jun08-11</t>
    <phoneticPr fontId="1" type="noConversion"/>
  </si>
  <si>
    <t>111-5677241-9469057</t>
  </si>
  <si>
    <t>May31 in stock</t>
    <phoneticPr fontId="1" type="noConversion"/>
  </si>
  <si>
    <t>186428748315</t>
    <phoneticPr fontId="1" type="noConversion"/>
  </si>
  <si>
    <t>111-6166775-7698640</t>
  </si>
  <si>
    <t>Jun05-10</t>
    <phoneticPr fontId="1" type="noConversion"/>
  </si>
  <si>
    <t>River Country</t>
    <phoneticPr fontId="1" type="noConversion"/>
  </si>
  <si>
    <t>Curtain - Jolly Roger</t>
    <phoneticPr fontId="1" type="noConversion"/>
  </si>
  <si>
    <r>
      <t xml:space="preserve">manpe-4732 --- PR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</si>
  <si>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t>jollybeanstore</t>
  </si>
  <si>
    <t>Graciano Lopez Lopez</t>
  </si>
  <si>
    <t>luisgrazzano@hotmail.com</t>
  </si>
  <si>
    <t>+1 402-499-2593</t>
  </si>
  <si>
    <t>dinkny10</t>
  </si>
  <si>
    <t>David Dinkelacker</t>
  </si>
  <si>
    <t>dinkny@verizon.net</t>
  </si>
  <si>
    <t>+1 516-384-5588</t>
  </si>
  <si>
    <t>jose daniel rodriguez rodriguez</t>
  </si>
  <si>
    <t>jdrodrig29@gmail.com</t>
  </si>
  <si>
    <t>+1 787-556-1124</t>
  </si>
  <si>
    <t>TBA048074557701</t>
  </si>
  <si>
    <t>9374889679090612667395</t>
    <phoneticPr fontId="1" type="noConversion"/>
  </si>
  <si>
    <t>TBA047860352601</t>
  </si>
  <si>
    <t>9374889686090462522707</t>
    <phoneticPr fontId="1" type="noConversion"/>
  </si>
  <si>
    <t>TBA048177506201</t>
  </si>
  <si>
    <t>9361289706090910402794</t>
    <phoneticPr fontId="1" type="noConversion"/>
  </si>
  <si>
    <t>9400109898642960086548</t>
    <phoneticPr fontId="1" type="noConversion"/>
  </si>
  <si>
    <t>TBA048289827301</t>
  </si>
  <si>
    <t>9361289674090800106889</t>
    <phoneticPr fontId="1" type="noConversion"/>
  </si>
  <si>
    <t>Curtain - Fish</t>
    <phoneticPr fontId="1" type="noConversion"/>
  </si>
  <si>
    <t>vielmore-m_0</t>
  </si>
  <si>
    <t>Vicki Elmore-McWhorter</t>
  </si>
  <si>
    <t>9374889687090871085410</t>
    <phoneticPr fontId="1" type="noConversion"/>
  </si>
  <si>
    <t>Skimmer Cancelled</t>
    <phoneticPr fontId="1" type="noConversion"/>
  </si>
  <si>
    <r>
      <t xml:space="preserve">gehring2001 ----- Cancel </t>
    </r>
    <r>
      <rPr>
        <b/>
        <sz val="10"/>
        <color rgb="FFFF0000"/>
        <rFont val="Arial Unicode MS"/>
        <family val="2"/>
        <charset val="136"/>
      </rPr>
      <t>C</t>
    </r>
    <phoneticPr fontId="1" type="noConversion"/>
  </si>
  <si>
    <t>Buyer requested Can - No longer needed</t>
    <phoneticPr fontId="1" type="noConversion"/>
  </si>
  <si>
    <t>SeasonWide no extra cost</t>
    <phoneticPr fontId="1" type="noConversion"/>
  </si>
  <si>
    <t>May28 Sent email no response to be can May31</t>
    <phoneticPr fontId="1" type="noConversion"/>
  </si>
  <si>
    <t>jmjiminez --------- Hawaii OK</t>
    <phoneticPr fontId="1" type="noConversion"/>
  </si>
  <si>
    <t>PR can not pay shipping</t>
    <phoneticPr fontId="1" type="noConversion"/>
  </si>
  <si>
    <t>zabdielito-6 ----------- PR OK</t>
    <phoneticPr fontId="1" type="noConversion"/>
  </si>
  <si>
    <t>PR no pay shipping</t>
    <phoneticPr fontId="1" type="noConversion"/>
  </si>
  <si>
    <t>Ex already bought</t>
    <phoneticPr fontId="1" type="noConversion"/>
  </si>
  <si>
    <t>Accidental purchase</t>
  </si>
  <si>
    <t>Got one Much Cheaper</t>
    <phoneticPr fontId="1" type="noConversion"/>
  </si>
  <si>
    <t>Cancelled Requested</t>
    <phoneticPr fontId="1" type="noConversion"/>
  </si>
  <si>
    <t>Can pay shipping wait replies mail may30</t>
    <phoneticPr fontId="1" type="noConversion"/>
  </si>
  <si>
    <r>
      <t xml:space="preserve">meganraquel23 ---- Hawaii </t>
    </r>
    <r>
      <rPr>
        <sz val="10"/>
        <color rgb="FFFF0000"/>
        <rFont val="Arial Unicode MS"/>
        <family val="2"/>
        <charset val="136"/>
      </rPr>
      <t>C</t>
    </r>
    <phoneticPr fontId="1" type="noConversion"/>
  </si>
  <si>
    <t xml:space="preserve"> </t>
    <phoneticPr fontId="1" type="noConversion"/>
  </si>
  <si>
    <t>1Z82V99Y0202344549</t>
    <phoneticPr fontId="1" type="noConversion"/>
  </si>
  <si>
    <t>392553467291</t>
    <phoneticPr fontId="1" type="noConversion"/>
  </si>
  <si>
    <t>Wrongly sent by UPS resend Jun23 arrival</t>
    <phoneticPr fontId="1" type="noConversion"/>
  </si>
  <si>
    <t>scot-barte</t>
  </si>
  <si>
    <t>scott bartek</t>
  </si>
  <si>
    <t>US Weight 40lb</t>
    <phoneticPr fontId="1" type="noConversion"/>
  </si>
  <si>
    <t>scottbartek@yahoo.com</t>
  </si>
  <si>
    <t>+1 352-445-8215</t>
  </si>
  <si>
    <t>jqe145</t>
  </si>
  <si>
    <t>Jamie Quinn</t>
  </si>
  <si>
    <t>jqe03r@yahoo.com</t>
  </si>
  <si>
    <t>+1 765-366-0165</t>
  </si>
  <si>
    <t>cectvshowtape@gmail.com</t>
  </si>
  <si>
    <t>+1 516-596-7598</t>
  </si>
  <si>
    <t>cectvs_69</t>
  </si>
  <si>
    <t>Ismael Maldonado</t>
  </si>
  <si>
    <t>gelmore62@yahoo.com</t>
  </si>
  <si>
    <t>+1 352-398-3660</t>
  </si>
  <si>
    <t>111-3847068-0981845</t>
    <phoneticPr fontId="1" type="noConversion"/>
  </si>
  <si>
    <t>Javier Cardona Fonseca</t>
    <phoneticPr fontId="1" type="noConversion"/>
  </si>
  <si>
    <t>HomeX - Cork Holder Barrel</t>
    <phoneticPr fontId="1" type="noConversion"/>
  </si>
  <si>
    <t>explorerspt</t>
  </si>
  <si>
    <t>Nina L Lane</t>
  </si>
  <si>
    <t>nmdno@aol.com</t>
  </si>
  <si>
    <t>+1 302-836-4685</t>
  </si>
  <si>
    <t>nolatec</t>
  </si>
  <si>
    <t>Joseph Maestas</t>
  </si>
  <si>
    <t>h8t3d504@gmail.com</t>
  </si>
  <si>
    <t>+1 504-444-2838</t>
  </si>
  <si>
    <t>111-0764831-4460244</t>
  </si>
  <si>
    <t>26javieromar ----- PR Can</t>
    <phoneticPr fontId="1" type="noConversion"/>
  </si>
  <si>
    <t>Harrison Ball</t>
    <phoneticPr fontId="1" type="noConversion"/>
  </si>
  <si>
    <t>111-0394426-5868264</t>
  </si>
  <si>
    <t>Jun01-05</t>
    <phoneticPr fontId="1" type="noConversion"/>
  </si>
  <si>
    <t>lidyk61</t>
  </si>
  <si>
    <t>Libby dykstra</t>
  </si>
  <si>
    <t>ldykstras30@gmail.com</t>
  </si>
  <si>
    <t>+1 619-710-1602</t>
  </si>
  <si>
    <t>111-4827816-2505864</t>
  </si>
  <si>
    <t>Jun01-05</t>
    <phoneticPr fontId="1" type="noConversion"/>
  </si>
  <si>
    <t>Intex Skimmer</t>
    <phoneticPr fontId="1" type="noConversion"/>
  </si>
  <si>
    <t>William Logan</t>
  </si>
  <si>
    <t>wjlogan@optonline.net</t>
  </si>
  <si>
    <t>+1 631-219-9801</t>
  </si>
  <si>
    <t>Alexis Nunez</t>
  </si>
  <si>
    <t>anunezrios@gmail.com</t>
  </si>
  <si>
    <t>+1 787-566-1911</t>
  </si>
  <si>
    <t>jesymon_0</t>
  </si>
  <si>
    <t>Jenna Symonevich</t>
  </si>
  <si>
    <t>bandssymonevich07@gmail.com</t>
  </si>
  <si>
    <t>+1 207-355-1222</t>
  </si>
  <si>
    <t>Planto Tote 56 QT -- Black</t>
    <phoneticPr fontId="1" type="noConversion"/>
  </si>
  <si>
    <t>marisol44</t>
  </si>
  <si>
    <t>Marisol Bouquio</t>
  </si>
  <si>
    <t>mari123170@yahoo.com</t>
  </si>
  <si>
    <t>+1 347-835-1355</t>
  </si>
  <si>
    <t>chaninge0</t>
  </si>
  <si>
    <t>Charlie Ningeulook</t>
  </si>
  <si>
    <t>cbningeulook@gmail.com</t>
  </si>
  <si>
    <t>+1 907-558-6335</t>
  </si>
  <si>
    <t>111-7535072-1484200</t>
  </si>
  <si>
    <t>Jun07</t>
    <phoneticPr fontId="1" type="noConversion"/>
  </si>
  <si>
    <t>Curtain - Tie Dye</t>
    <phoneticPr fontId="1" type="noConversion"/>
  </si>
  <si>
    <t>breso_61</t>
  </si>
  <si>
    <t>Brenda Souza</t>
  </si>
  <si>
    <t>crazynana3@icloud.com</t>
  </si>
  <si>
    <t>+1 918-900-1447</t>
  </si>
  <si>
    <t>leonardommeza14@gmail.com</t>
  </si>
  <si>
    <t>+1 912-755-2898</t>
  </si>
  <si>
    <t>biroanz@aol.com</t>
  </si>
  <si>
    <t>+1 808-216-3789</t>
  </si>
  <si>
    <t>111-8378349-9850621</t>
  </si>
  <si>
    <t>9400116901628797300461</t>
    <phoneticPr fontId="1" type="noConversion"/>
  </si>
  <si>
    <t>9400116901628797300683</t>
    <phoneticPr fontId="1" type="noConversion"/>
  </si>
  <si>
    <t>111-6303654-8138619</t>
  </si>
  <si>
    <t>111-8357017-2737046</t>
  </si>
  <si>
    <t>1Z81WV731306587206</t>
  </si>
  <si>
    <t>TBA049053257401</t>
  </si>
  <si>
    <r>
      <t xml:space="preserve">ale_9909 ---------------- PR </t>
    </r>
    <r>
      <rPr>
        <b/>
        <sz val="10"/>
        <color rgb="FF00B050"/>
        <rFont val="Arial Unicode MS"/>
        <family val="2"/>
        <charset val="136"/>
      </rPr>
      <t>C</t>
    </r>
    <phoneticPr fontId="1" type="noConversion"/>
  </si>
  <si>
    <t>PR not pay Shipping</t>
    <phoneticPr fontId="1" type="noConversion"/>
  </si>
  <si>
    <t>Cancelled PR</t>
    <phoneticPr fontId="1" type="noConversion"/>
  </si>
  <si>
    <t>111-3654255-7511443</t>
  </si>
  <si>
    <t>Jun08</t>
    <phoneticPr fontId="1" type="noConversion"/>
  </si>
  <si>
    <t>cke9845_amzd0k4</t>
  </si>
  <si>
    <t>Ken Caron</t>
  </si>
  <si>
    <t>kcaron5iowa@gmail.com</t>
  </si>
  <si>
    <t>+1 319-333-9845</t>
  </si>
  <si>
    <t>Juan J Cuesta</t>
  </si>
  <si>
    <t>111-4413660-5309041</t>
  </si>
  <si>
    <t>111-2136944-0585069</t>
  </si>
  <si>
    <t>Jun07-09</t>
    <phoneticPr fontId="1" type="noConversion"/>
  </si>
  <si>
    <t>111-6987198-7486622</t>
  </si>
  <si>
    <t>Jun07-08</t>
    <phoneticPr fontId="1" type="noConversion"/>
  </si>
  <si>
    <r>
      <t xml:space="preserve">mayrriver8 --- PR </t>
    </r>
    <r>
      <rPr>
        <sz val="10"/>
        <color rgb="FFFF0000"/>
        <rFont val="Arial Unicode MS"/>
        <family val="2"/>
        <charset val="136"/>
      </rPr>
      <t>Can</t>
    </r>
    <r>
      <rPr>
        <sz val="10"/>
        <color theme="1"/>
        <rFont val="Arial Unicode MS"/>
        <family val="2"/>
        <charset val="136"/>
      </rPr>
      <t xml:space="preserve"> Req</t>
    </r>
    <phoneticPr fontId="1" type="noConversion"/>
  </si>
  <si>
    <t>111-7062759-4637826</t>
  </si>
  <si>
    <t>111-3467263-2317823</t>
  </si>
  <si>
    <t>Jul02-09</t>
    <phoneticPr fontId="1" type="noConversion"/>
  </si>
  <si>
    <t>Cork Holder Cancelled</t>
    <phoneticPr fontId="1" type="noConversion"/>
  </si>
  <si>
    <t>111-4999242-4486645</t>
  </si>
  <si>
    <t>TRUE</t>
    <phoneticPr fontId="1" type="noConversion"/>
  </si>
  <si>
    <t>9374889707090957986184</t>
    <phoneticPr fontId="1" type="noConversion"/>
  </si>
  <si>
    <t>111-2641669-0937856</t>
  </si>
  <si>
    <t>Jun09-11</t>
    <phoneticPr fontId="1" type="noConversion"/>
  </si>
  <si>
    <t xml:space="preserve">111-3254658-1033043 </t>
  </si>
  <si>
    <t>111-7501631-5049819</t>
  </si>
  <si>
    <t>111-3682523-8825822</t>
  </si>
  <si>
    <t>Jun09</t>
    <phoneticPr fontId="1" type="noConversion"/>
  </si>
  <si>
    <t>111-5592932-1976241</t>
  </si>
  <si>
    <t>HomeX</t>
    <phoneticPr fontId="1" type="noConversion"/>
  </si>
  <si>
    <t>motorcycles_motorcycles</t>
  </si>
  <si>
    <t>Brian Daily</t>
  </si>
  <si>
    <t>mmorpgwarehouse@yahoo.com</t>
  </si>
  <si>
    <t>+1 609-276-3983</t>
  </si>
  <si>
    <t>bedaily@hotmail.com</t>
  </si>
  <si>
    <t>+1 903-456-5352</t>
  </si>
  <si>
    <t>jjcuesta@hotmail.com</t>
  </si>
  <si>
    <t>+1 787-675-4489</t>
  </si>
  <si>
    <t>buttens73</t>
  </si>
  <si>
    <t>Jason Buttenshaw</t>
  </si>
  <si>
    <t>fairfaxfire@hotmail.com</t>
  </si>
  <si>
    <t>+1 540-905-1491</t>
  </si>
  <si>
    <t>9300120111404849145579</t>
    <phoneticPr fontId="1" type="noConversion"/>
  </si>
  <si>
    <t>TBA049509659501</t>
  </si>
  <si>
    <t>9361289683090587951632</t>
    <phoneticPr fontId="1" type="noConversion"/>
  </si>
  <si>
    <t>9374889706090914080697</t>
    <phoneticPr fontId="1" type="noConversion"/>
  </si>
  <si>
    <t>1Z50219X0290279353</t>
  </si>
  <si>
    <t>JUSTIN S DUFF</t>
    <phoneticPr fontId="1" type="noConversion"/>
  </si>
  <si>
    <t>m-micro-hvbbc4ay</t>
  </si>
  <si>
    <t>Michael Roe</t>
  </si>
  <si>
    <t>michaelroefl@gmail.com</t>
  </si>
  <si>
    <t>+1 928-259-8930</t>
  </si>
  <si>
    <t>Can Requested</t>
    <phoneticPr fontId="1" type="noConversion"/>
  </si>
  <si>
    <t>Marisel Ortiz</t>
  </si>
  <si>
    <t>james bianco</t>
  </si>
  <si>
    <t>shadsolack</t>
  </si>
  <si>
    <t>Steve Pavlick</t>
  </si>
  <si>
    <t>dentdog7</t>
  </si>
  <si>
    <t>Mike Truscelli</t>
  </si>
  <si>
    <t>jimruthbianco@aol.com</t>
  </si>
  <si>
    <t>+1 714-714-5515</t>
  </si>
  <si>
    <t>fredpav@hotmail.com</t>
  </si>
  <si>
    <t>+1 817-707-3817</t>
  </si>
  <si>
    <t>moa_1965@hotmail.com</t>
  </si>
  <si>
    <t>+1 787-505-7343</t>
  </si>
  <si>
    <t>Ask for shipping</t>
    <phoneticPr fontId="1" type="noConversion"/>
  </si>
  <si>
    <t>47 days</t>
    <phoneticPr fontId="1" type="noConversion"/>
  </si>
  <si>
    <t>35 days US</t>
    <phoneticPr fontId="1" type="noConversion"/>
  </si>
  <si>
    <t>393421417550</t>
    <phoneticPr fontId="1" type="noConversion"/>
  </si>
  <si>
    <t>393421418052</t>
    <phoneticPr fontId="1" type="noConversion"/>
  </si>
  <si>
    <t>presents4kimmy1964</t>
  </si>
  <si>
    <t>Kim Welliver</t>
  </si>
  <si>
    <t>kawelliver@pa.metrocast.net</t>
  </si>
  <si>
    <t>+1 570-452-1717</t>
  </si>
  <si>
    <t>Brian Kim</t>
  </si>
  <si>
    <r>
      <t>1972cuestahernandez - PR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</si>
  <si>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t>Jun04 New</t>
    <phoneticPr fontId="1" type="noConversion"/>
  </si>
  <si>
    <t>393414119059</t>
    <phoneticPr fontId="1" type="noConversion"/>
  </si>
  <si>
    <r>
      <t xml:space="preserve">email asked shipping </t>
    </r>
    <r>
      <rPr>
        <sz val="10"/>
        <color rgb="FFFF0000"/>
        <rFont val="Arial Unicode MS"/>
        <family val="2"/>
        <charset val="136"/>
      </rPr>
      <t>Will pay then Can</t>
    </r>
    <phoneticPr fontId="1" type="noConversion"/>
  </si>
  <si>
    <t>arno-baneg</t>
  </si>
  <si>
    <t>arnol banegas</t>
  </si>
  <si>
    <t>fish_n_king</t>
  </si>
  <si>
    <t>beth213</t>
  </si>
  <si>
    <t>Elizabeth Benoit</t>
  </si>
  <si>
    <t>saul henriquez</t>
  </si>
  <si>
    <t>gerawill_87</t>
  </si>
  <si>
    <t>Geraldine Williams</t>
  </si>
  <si>
    <t>nicolebusboom</t>
  </si>
  <si>
    <t>Nicole Itule - Busboom</t>
  </si>
  <si>
    <t>ballh365 ---- Can NO STOCK</t>
    <phoneticPr fontId="1" type="noConversion"/>
  </si>
  <si>
    <t>Buy pump which includes Adaptor</t>
    <phoneticPr fontId="1" type="noConversion"/>
  </si>
  <si>
    <r>
      <t xml:space="preserve">letsplaymagic --- Req 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</si>
  <si>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r>
      <t xml:space="preserve">biguluaz100 --- Hawaii 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</si>
  <si>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t>arnol1986martinez@gmail.com</t>
  </si>
  <si>
    <t>+1 828-230-0203</t>
  </si>
  <si>
    <t>matthewcupp36@yahoo.com</t>
  </si>
  <si>
    <t>+1 601-528-2004</t>
  </si>
  <si>
    <t>zigsmom03@gmail.com</t>
  </si>
  <si>
    <t>+1 304-365-1583</t>
  </si>
  <si>
    <t>nbusboom21@yahoo.com</t>
  </si>
  <si>
    <t>+1 520-609-7085</t>
  </si>
  <si>
    <r>
      <t>busychild1129 ---- Req</t>
    </r>
    <r>
      <rPr>
        <sz val="10"/>
        <color rgb="FFFF0000"/>
        <rFont val="Arial Unicode MS"/>
        <family val="2"/>
        <charset val="136"/>
      </rPr>
      <t xml:space="preserve"> Can</t>
    </r>
    <phoneticPr fontId="1" type="noConversion"/>
  </si>
  <si>
    <t>geriwilliams16@gmail.com</t>
  </si>
  <si>
    <t>+1 601-392-5028</t>
  </si>
  <si>
    <r>
      <t xml:space="preserve">omamoa_t05ujvl7w -- PR </t>
    </r>
    <r>
      <rPr>
        <sz val="10"/>
        <color rgb="FFFF0000"/>
        <rFont val="Arial Unicode MS"/>
        <family val="2"/>
        <charset val="136"/>
      </rPr>
      <t>Paid</t>
    </r>
    <phoneticPr fontId="1" type="noConversion"/>
  </si>
  <si>
    <t>accidentally ordered the wrong item</t>
  </si>
  <si>
    <t>baloncelista29@hotmail.com</t>
  </si>
  <si>
    <t>+1 787-610-5590</t>
  </si>
  <si>
    <t>Intex 10127 Stopper</t>
    <phoneticPr fontId="1" type="noConversion"/>
  </si>
  <si>
    <t>111-6482329-1118644</t>
  </si>
  <si>
    <t>Jun10-12</t>
    <phoneticPr fontId="1" type="noConversion"/>
  </si>
  <si>
    <t>111-4047859-5012234</t>
  </si>
  <si>
    <t>tcrcatlin@aol.com</t>
  </si>
  <si>
    <t>+1 217-304-1744</t>
  </si>
  <si>
    <t>Cancelled</t>
    <phoneticPr fontId="1" type="noConversion"/>
  </si>
  <si>
    <t>eajbenoit@aol.com</t>
  </si>
  <si>
    <t>+1 413-539-1952</t>
  </si>
  <si>
    <t>111-0535057-6197868</t>
  </si>
  <si>
    <t>Jun03</t>
    <phoneticPr fontId="1" type="noConversion"/>
  </si>
  <si>
    <t>SeasonWide</t>
    <phoneticPr fontId="1" type="noConversion"/>
  </si>
  <si>
    <t>111-9328459-5979404</t>
  </si>
  <si>
    <t>2 days once shipped</t>
    <phoneticPr fontId="1" type="noConversion"/>
  </si>
  <si>
    <t>Great Price Fast Service</t>
    <phoneticPr fontId="1" type="noConversion"/>
  </si>
  <si>
    <t>111-3117668-4296252</t>
  </si>
  <si>
    <t>Jun10</t>
    <phoneticPr fontId="1" type="noConversion"/>
  </si>
  <si>
    <t xml:space="preserve"> </t>
    <phoneticPr fontId="1" type="noConversion"/>
  </si>
  <si>
    <t>brianhongkim@gmail.com</t>
  </si>
  <si>
    <t>+1 201-247-2380</t>
  </si>
  <si>
    <t>Asking Address</t>
    <phoneticPr fontId="1" type="noConversion"/>
  </si>
  <si>
    <t>Cancelled HI</t>
    <phoneticPr fontId="1" type="noConversion"/>
  </si>
  <si>
    <t>9374889691091163628189</t>
    <phoneticPr fontId="1" type="noConversion"/>
  </si>
  <si>
    <t>9361289724009199827422</t>
    <phoneticPr fontId="1" type="noConversion"/>
  </si>
  <si>
    <t>TBA050180872201</t>
  </si>
  <si>
    <t>AL</t>
    <phoneticPr fontId="1" type="noConversion"/>
  </si>
  <si>
    <t>Refunded but already sent change mind n paid again NO RETURN initiated</t>
    <phoneticPr fontId="1" type="noConversion"/>
  </si>
  <si>
    <t>7banger</t>
    <phoneticPr fontId="1" type="noConversion"/>
  </si>
  <si>
    <t>111-9309617-9860211</t>
  </si>
  <si>
    <t>Amazon</t>
    <phoneticPr fontId="1" type="noConversion"/>
  </si>
  <si>
    <t>Jun05</t>
    <phoneticPr fontId="1" type="noConversion"/>
  </si>
  <si>
    <t>TBA051433937401</t>
  </si>
  <si>
    <t>111-4667275-0569020</t>
  </si>
  <si>
    <t>111-2076885-8667407</t>
  </si>
  <si>
    <t>Jun04</t>
    <phoneticPr fontId="1" type="noConversion"/>
  </si>
  <si>
    <t>393465852702</t>
    <phoneticPr fontId="1" type="noConversion"/>
  </si>
  <si>
    <t>Fedex</t>
    <phoneticPr fontId="1" type="noConversion"/>
  </si>
  <si>
    <t>393465854267</t>
    <phoneticPr fontId="1" type="noConversion"/>
  </si>
  <si>
    <t>141166919090</t>
    <phoneticPr fontId="1" type="noConversion"/>
  </si>
  <si>
    <t>Curtain - Sunset</t>
    <phoneticPr fontId="1" type="noConversion"/>
  </si>
  <si>
    <t>Found better price, not yet shipped</t>
    <phoneticPr fontId="1" type="noConversion"/>
  </si>
  <si>
    <t>dincar-bhuwddjcc</t>
  </si>
  <si>
    <t>carlos Rodriquez</t>
  </si>
  <si>
    <t>dinero1603@gmail.com</t>
  </si>
  <si>
    <t>+1 801-919-6286</t>
  </si>
  <si>
    <t>Trevor Moulton</t>
    <phoneticPr fontId="1" type="noConversion"/>
  </si>
  <si>
    <t>1ZYR35020309335154</t>
    <phoneticPr fontId="1" type="noConversion"/>
  </si>
  <si>
    <t>UPS</t>
    <phoneticPr fontId="1" type="noConversion"/>
  </si>
  <si>
    <t>janis1341</t>
  </si>
  <si>
    <t>Janis Carpenter</t>
  </si>
  <si>
    <t>kreneeasia2003</t>
  </si>
  <si>
    <t>kim gutierrez</t>
  </si>
  <si>
    <t>newwaw01@aol.com</t>
  </si>
  <si>
    <t>+1 606-308-9875</t>
  </si>
  <si>
    <t>kgutie7226@yahoo.com</t>
  </si>
  <si>
    <t>+1 505-304-5320</t>
  </si>
  <si>
    <t>scofflaw79</t>
  </si>
  <si>
    <t>Marty J. Schuster</t>
  </si>
  <si>
    <t>9374889716090314790230</t>
    <phoneticPr fontId="1" type="noConversion"/>
  </si>
  <si>
    <t>USPS</t>
    <phoneticPr fontId="1" type="noConversion"/>
  </si>
  <si>
    <t>1Z82V99Y0202540783</t>
    <phoneticPr fontId="1" type="noConversion"/>
  </si>
  <si>
    <t>9374889714090513741813</t>
    <phoneticPr fontId="1" type="noConversion"/>
  </si>
  <si>
    <t>111-1413524-8550627</t>
  </si>
  <si>
    <t>Jun11-15</t>
    <phoneticPr fontId="1" type="noConversion"/>
  </si>
  <si>
    <t>393502546590</t>
    <phoneticPr fontId="1" type="noConversion"/>
  </si>
  <si>
    <t>TBA051788309601</t>
  </si>
  <si>
    <t>Eriberto Ortega Ramirez</t>
    <phoneticPr fontId="1" type="noConversion"/>
  </si>
  <si>
    <t>jnayoung2410</t>
  </si>
  <si>
    <t>Jimmy young</t>
  </si>
  <si>
    <t>jnayoung2010@yahoo.com</t>
  </si>
  <si>
    <t>+1 903-220-9390</t>
  </si>
  <si>
    <t>Theron Willard</t>
  </si>
  <si>
    <t>theronwillard@hotmail.com</t>
  </si>
  <si>
    <t>+1 907-306-0400</t>
  </si>
  <si>
    <t>joval_5555</t>
  </si>
  <si>
    <t>Jose Valadez</t>
  </si>
  <si>
    <t>valadez.jose86@yahoo.com</t>
  </si>
  <si>
    <t>+1 916-468-2956</t>
  </si>
  <si>
    <t>Francisco Cruz</t>
  </si>
  <si>
    <t>francr885 ----------------------- PR</t>
    <phoneticPr fontId="1" type="noConversion"/>
  </si>
  <si>
    <t>barterjoey1248</t>
  </si>
  <si>
    <t>Joey Hester</t>
  </si>
  <si>
    <t>barterjoey@gmail.com</t>
  </si>
  <si>
    <t>+1 317-870-3388</t>
  </si>
  <si>
    <t>francisco.j.cruz.rivera18@gmail.com</t>
  </si>
  <si>
    <t>+1 787-908-3269</t>
  </si>
  <si>
    <t>martyschuster79@hotmail.com</t>
  </si>
  <si>
    <t>+1 419-706-7456</t>
  </si>
  <si>
    <t>111-5208480-0131443</t>
  </si>
  <si>
    <t>GPFService</t>
    <phoneticPr fontId="1" type="noConversion"/>
  </si>
  <si>
    <t>111-5196344-9847457</t>
  </si>
  <si>
    <t>Amazin:)</t>
  </si>
  <si>
    <t>Amazin:)</t>
    <phoneticPr fontId="1" type="noConversion"/>
  </si>
  <si>
    <t>111-6298757-0271454</t>
  </si>
  <si>
    <t>Jun10-11</t>
    <phoneticPr fontId="1" type="noConversion"/>
  </si>
  <si>
    <t>Curtain - Bookcase</t>
    <phoneticPr fontId="1" type="noConversion"/>
  </si>
  <si>
    <t>111-3934292-8766662</t>
  </si>
  <si>
    <t>111-0280190-2949854</t>
  </si>
  <si>
    <t>111-9791200-7503412</t>
  </si>
  <si>
    <t>111-5219671-0544263</t>
  </si>
  <si>
    <t>111-7601681-2445000</t>
  </si>
  <si>
    <t>Jun06</t>
    <phoneticPr fontId="1" type="noConversion"/>
  </si>
  <si>
    <t>111-0936932-2806605</t>
  </si>
  <si>
    <t>Jul01</t>
    <phoneticPr fontId="1" type="noConversion"/>
  </si>
  <si>
    <t>sheher-3333</t>
  </si>
  <si>
    <t>Sheila Herron</t>
  </si>
  <si>
    <t>111-5235889-5645007</t>
  </si>
  <si>
    <t>sherron311@aol.com</t>
  </si>
  <si>
    <t>+1 214-450-3658</t>
  </si>
  <si>
    <t xml:space="preserve">9374889713090051338255 </t>
    <phoneticPr fontId="1" type="noConversion"/>
  </si>
  <si>
    <t>os2514  ------ Cancel Req</t>
    <phoneticPr fontId="1" type="noConversion"/>
  </si>
  <si>
    <t>Req Can, need it now can not wait</t>
    <phoneticPr fontId="1" type="noConversion"/>
  </si>
  <si>
    <t>111-1535971-9596266</t>
  </si>
  <si>
    <t>Jun07-11</t>
    <phoneticPr fontId="1" type="noConversion"/>
  </si>
  <si>
    <t>Amazon</t>
    <phoneticPr fontId="1" type="noConversion"/>
  </si>
  <si>
    <t>jimbianco1</t>
    <phoneticPr fontId="1" type="noConversion"/>
  </si>
  <si>
    <t>1Z9R62840306158868</t>
  </si>
  <si>
    <t>TBA052457382001</t>
  </si>
  <si>
    <t>Jun06-08</t>
    <phoneticPr fontId="1" type="noConversion"/>
  </si>
  <si>
    <t>Jun06-07</t>
    <phoneticPr fontId="1" type="noConversion"/>
  </si>
  <si>
    <t>9374889690090808680040</t>
    <phoneticPr fontId="1" type="noConversion"/>
  </si>
  <si>
    <t>111-6247946-7397816</t>
  </si>
  <si>
    <t>Jun12-16</t>
    <phoneticPr fontId="1" type="noConversion"/>
  </si>
  <si>
    <t>leonme-72</t>
  </si>
  <si>
    <t>Leonardo Meza</t>
  </si>
  <si>
    <t>111-7196787-4725026</t>
  </si>
  <si>
    <t>9374889725009187681338</t>
    <phoneticPr fontId="1" type="noConversion"/>
  </si>
  <si>
    <t>Cancel Req NO Stock</t>
    <phoneticPr fontId="1" type="noConversion"/>
  </si>
  <si>
    <t>111-4987664-9229045</t>
  </si>
  <si>
    <t>111-0072694-6291429</t>
  </si>
  <si>
    <t>Jun10     RC</t>
    <phoneticPr fontId="1" type="noConversion"/>
  </si>
  <si>
    <t>Wait Phy Add</t>
    <phoneticPr fontId="1" type="noConversion"/>
  </si>
  <si>
    <t>baloncelista29-3 -------------- PR</t>
    <phoneticPr fontId="1" type="noConversion"/>
  </si>
  <si>
    <t>111-8115666-2117860</t>
  </si>
  <si>
    <t>Jun08</t>
    <phoneticPr fontId="1" type="noConversion"/>
  </si>
  <si>
    <t>QBQS</t>
    <phoneticPr fontId="1" type="noConversion"/>
  </si>
  <si>
    <t>111-6005716-3428218</t>
  </si>
  <si>
    <t>Asking shipping</t>
    <phoneticPr fontId="1" type="noConversion"/>
  </si>
  <si>
    <t>111-9685411-5482622</t>
  </si>
  <si>
    <t>Jun15-22</t>
    <phoneticPr fontId="1" type="noConversion"/>
  </si>
  <si>
    <t>River Country</t>
    <phoneticPr fontId="1" type="noConversion"/>
  </si>
  <si>
    <t>Curtain - Louver Door</t>
    <phoneticPr fontId="1" type="noConversion"/>
  </si>
  <si>
    <t>Arnold Kaplowitz</t>
  </si>
  <si>
    <t>arnoldkaplowitz@yahoo.com</t>
  </si>
  <si>
    <t>+1 617-236-1797</t>
  </si>
  <si>
    <t>floydmeddle931</t>
  </si>
  <si>
    <t>Mark Atkins</t>
  </si>
  <si>
    <t>montereypurp@yahoo.com</t>
  </si>
  <si>
    <t>+1 865-850-4357</t>
  </si>
  <si>
    <t>jadstrim</t>
  </si>
  <si>
    <t>Amy Messier</t>
  </si>
  <si>
    <t>9374889725009187977684</t>
    <phoneticPr fontId="1" type="noConversion"/>
  </si>
  <si>
    <t>9405511899223710660260</t>
    <phoneticPr fontId="1" type="noConversion"/>
  </si>
  <si>
    <t>393542596326</t>
    <phoneticPr fontId="1" type="noConversion"/>
  </si>
  <si>
    <t>Fedex</t>
    <phoneticPr fontId="1" type="noConversion"/>
  </si>
  <si>
    <t>arnold4775 ----- Can Requested</t>
    <phoneticPr fontId="1" type="noConversion"/>
  </si>
  <si>
    <t>Cancelled Request</t>
    <phoneticPr fontId="1" type="noConversion"/>
  </si>
  <si>
    <t>Antonio Castellano</t>
    <phoneticPr fontId="1" type="noConversion"/>
  </si>
  <si>
    <t>111-8677009-8914631</t>
  </si>
  <si>
    <t>Jun22-24</t>
    <phoneticPr fontId="1" type="noConversion"/>
  </si>
  <si>
    <t xml:space="preserve">Amazon     </t>
    <phoneticPr fontId="1" type="noConversion"/>
  </si>
  <si>
    <t>TBA053489549701</t>
  </si>
  <si>
    <t>amylmess@gmail.com</t>
  </si>
  <si>
    <t>+1 802-449-7177</t>
  </si>
  <si>
    <t>111-1686916-4521808</t>
  </si>
  <si>
    <t>9361289725009188370990</t>
    <phoneticPr fontId="1" type="noConversion"/>
  </si>
  <si>
    <t>111-2310474-1657063</t>
    <phoneticPr fontId="1" type="noConversion"/>
  </si>
  <si>
    <t>jojog-6036</t>
    <phoneticPr fontId="1" type="noConversion"/>
  </si>
  <si>
    <t>Christina Heimbigner</t>
    <phoneticPr fontId="1" type="noConversion"/>
  </si>
  <si>
    <t>Matthew Cupp</t>
    <phoneticPr fontId="1" type="noConversion"/>
  </si>
  <si>
    <t>111-8142958-9533804</t>
  </si>
  <si>
    <t>Outdoor Supply Inc</t>
  </si>
  <si>
    <t>111-6529071-2750625</t>
  </si>
  <si>
    <t>theronkw  ---------------- AK Can</t>
    <phoneticPr fontId="1" type="noConversion"/>
  </si>
  <si>
    <t>No Shipping to AK+ No Stock</t>
    <phoneticPr fontId="1" type="noConversion"/>
  </si>
  <si>
    <t>111-4290617-0550634</t>
  </si>
  <si>
    <t>111-4290263-4122602</t>
  </si>
  <si>
    <t>HomeX - Cork Holder Cow</t>
    <phoneticPr fontId="1" type="noConversion"/>
  </si>
  <si>
    <t>Plano Tote - 68 QT -- Black</t>
    <phoneticPr fontId="1" type="noConversion"/>
  </si>
  <si>
    <t>angelsonearth.940</t>
  </si>
  <si>
    <t>CINDY RIEDEL</t>
  </si>
  <si>
    <t>cindylou-r@hotmail.com</t>
  </si>
  <si>
    <t>+1 940-210-9126</t>
  </si>
  <si>
    <t>111-7871548-9270631</t>
  </si>
  <si>
    <t>Jun15-17</t>
    <phoneticPr fontId="1" type="noConversion"/>
  </si>
  <si>
    <t>Skimmer  AK Cancel</t>
    <phoneticPr fontId="1" type="noConversion"/>
  </si>
  <si>
    <t>393562628474</t>
    <phoneticPr fontId="1" type="noConversion"/>
  </si>
  <si>
    <t>9374889680090727955789</t>
    <phoneticPr fontId="1" type="noConversion"/>
  </si>
  <si>
    <t>TBA053552678301</t>
  </si>
  <si>
    <t xml:space="preserve">#TC1016 </t>
  </si>
  <si>
    <t>#TC1017</t>
  </si>
  <si>
    <t>coliale-0</t>
  </si>
  <si>
    <t>aleyda colindres</t>
  </si>
  <si>
    <t>aleydacolindres03@gmail.com</t>
  </si>
  <si>
    <t>+1 786-774-3587</t>
  </si>
  <si>
    <t>evolucion.jd_0</t>
  </si>
  <si>
    <t>Jose Gonzalez</t>
  </si>
  <si>
    <t>seabisq24</t>
  </si>
  <si>
    <t>andrew siebert</t>
  </si>
  <si>
    <t>ansiebert24@gmail.com</t>
  </si>
  <si>
    <t>+1 972-979-4674</t>
  </si>
  <si>
    <t>9361289673090953780609</t>
    <phoneticPr fontId="1" type="noConversion"/>
  </si>
  <si>
    <t>393566127620</t>
    <phoneticPr fontId="1" type="noConversion"/>
  </si>
  <si>
    <t>393566129277</t>
    <phoneticPr fontId="1" type="noConversion"/>
  </si>
  <si>
    <t>393566129244</t>
    <phoneticPr fontId="1" type="noConversion"/>
  </si>
  <si>
    <t>393572906398</t>
    <phoneticPr fontId="1" type="noConversion"/>
  </si>
  <si>
    <t>1Z81WY11YN27464732</t>
    <phoneticPr fontId="1" type="noConversion"/>
  </si>
  <si>
    <t>UPS SurePost</t>
    <phoneticPr fontId="1" type="noConversion"/>
  </si>
  <si>
    <t>1Z97626WYW55397346</t>
    <phoneticPr fontId="1" type="noConversion"/>
  </si>
  <si>
    <t>9274899993696524922538</t>
    <phoneticPr fontId="1" type="noConversion"/>
  </si>
  <si>
    <t>evolearbuds</t>
  </si>
  <si>
    <t>Scott Regalado</t>
  </si>
  <si>
    <t>scott.regalado@gmail.com</t>
  </si>
  <si>
    <t>+1 847-401-9298</t>
  </si>
  <si>
    <t>orly2013</t>
  </si>
  <si>
    <t>Orlando Yabes</t>
  </si>
  <si>
    <t>psyche_yabes@yahoo.com</t>
  </si>
  <si>
    <t>+1 432-210-6039</t>
  </si>
  <si>
    <t>111-6381091-3072247</t>
  </si>
  <si>
    <t>Jun11</t>
    <phoneticPr fontId="1" type="noConversion"/>
  </si>
  <si>
    <t>josed.pr2015 ----------- PR OK</t>
    <phoneticPr fontId="1" type="noConversion"/>
  </si>
  <si>
    <t>9274890179053705007555</t>
    <phoneticPr fontId="1" type="noConversion"/>
  </si>
  <si>
    <t>111-6945567-5237843</t>
  </si>
  <si>
    <t>111-3313149-9716206</t>
  </si>
  <si>
    <t>Curtain - Mona Lisa</t>
    <phoneticPr fontId="1" type="noConversion"/>
  </si>
  <si>
    <t>glenvi_38</t>
  </si>
  <si>
    <t>Shawna Wilde</t>
  </si>
  <si>
    <t>glenvillines@yahoo.com</t>
  </si>
  <si>
    <t>+1 541-515-0501</t>
  </si>
  <si>
    <t>111-4639069-4830655</t>
  </si>
  <si>
    <t>111-2276961-6190657</t>
  </si>
  <si>
    <t>HomeX</t>
    <phoneticPr fontId="1" type="noConversion"/>
  </si>
  <si>
    <t>Jun09</t>
    <phoneticPr fontId="1" type="noConversion"/>
  </si>
  <si>
    <t>111-9965559-6657857</t>
  </si>
  <si>
    <t>Jul08</t>
    <phoneticPr fontId="1" type="noConversion"/>
  </si>
  <si>
    <t>111-9783574-1286621</t>
  </si>
  <si>
    <t>1Z9702V70221477816</t>
    <phoneticPr fontId="1" type="noConversion"/>
  </si>
  <si>
    <t>TBA053199997301</t>
  </si>
  <si>
    <t>9374889718009261766104</t>
    <phoneticPr fontId="1" type="noConversion"/>
  </si>
  <si>
    <t>9374889682090909912935</t>
    <phoneticPr fontId="1" type="noConversion"/>
  </si>
  <si>
    <t>9374889704090904776113</t>
    <phoneticPr fontId="1" type="noConversion"/>
  </si>
  <si>
    <t>jerdel_3600</t>
  </si>
  <si>
    <t>ppod22</t>
  </si>
  <si>
    <t>Sarah Partin</t>
  </si>
  <si>
    <t>spartin22@gmail.com</t>
  </si>
  <si>
    <t>+1 517-392-6163</t>
  </si>
  <si>
    <t>Cancelling wait for confirmation</t>
    <phoneticPr fontId="1" type="noConversion"/>
  </si>
  <si>
    <t>TBA054089132501</t>
  </si>
  <si>
    <t>bcurlee2012</t>
  </si>
  <si>
    <t>brent.curlee@gmail.com</t>
  </si>
  <si>
    <t>+1 334-297-6311</t>
  </si>
  <si>
    <t>Brent Curlee</t>
  </si>
  <si>
    <t>poppywilson</t>
  </si>
  <si>
    <t>Russell Wilson</t>
  </si>
  <si>
    <t>rdnewilson@grics.net</t>
  </si>
  <si>
    <t>+1 815-284-6875</t>
  </si>
  <si>
    <t>111-9376630-9760213</t>
  </si>
  <si>
    <t>zinit84</t>
  </si>
  <si>
    <t>Timur Zakirov</t>
  </si>
  <si>
    <t>buffalostars99@yahoo.com</t>
  </si>
  <si>
    <t>+1 716-913-6725</t>
  </si>
  <si>
    <t>Carmelo Ortiz</t>
  </si>
  <si>
    <t>9400116901628797386373</t>
    <phoneticPr fontId="1" type="noConversion"/>
  </si>
  <si>
    <t>Plano Tote - 108 QT -- Green</t>
    <phoneticPr fontId="1" type="noConversion"/>
  </si>
  <si>
    <t>TBA055031105001</t>
  </si>
  <si>
    <t>beasty7519-5</t>
  </si>
  <si>
    <t>Anthony Royer</t>
  </si>
  <si>
    <t>Elizaida Nieves</t>
    <phoneticPr fontId="1" type="noConversion"/>
  </si>
  <si>
    <t>9374889670090479491736</t>
    <phoneticPr fontId="1" type="noConversion"/>
  </si>
  <si>
    <t xml:space="preserve">9374889718009262342864
</t>
    <phoneticPr fontId="1" type="noConversion"/>
  </si>
  <si>
    <t>TBA055382777001</t>
  </si>
  <si>
    <t>chdua-94</t>
  </si>
  <si>
    <t>Chris Duarte</t>
  </si>
  <si>
    <t>crisduarte2009@gmail.com</t>
  </si>
  <si>
    <t>+1 985-402-5296</t>
  </si>
  <si>
    <t xml:space="preserve">Stock not yet, not ship need soon </t>
    <phoneticPr fontId="1" type="noConversion"/>
  </si>
  <si>
    <t>beasty7519@gmail.com</t>
  </si>
  <si>
    <t>+1 703-975-5257</t>
  </si>
  <si>
    <r>
      <t xml:space="preserve">mtr2390_veraluz9 --- </t>
    </r>
    <r>
      <rPr>
        <sz val="10"/>
        <color rgb="FFFF0000"/>
        <rFont val="Arial Unicode MS"/>
        <family val="2"/>
        <charset val="136"/>
      </rPr>
      <t>Cancelled</t>
    </r>
    <phoneticPr fontId="1" type="noConversion"/>
  </si>
  <si>
    <t>111-3711577-0269058</t>
  </si>
  <si>
    <t>111-7073741-0106609</t>
  </si>
  <si>
    <t>Windy no stock, Buyer preferred refund</t>
    <phoneticPr fontId="1" type="noConversion"/>
  </si>
  <si>
    <t>Windy no stock, buyer Wait for new STOCK</t>
    <phoneticPr fontId="1" type="noConversion"/>
  </si>
  <si>
    <t>111-4848788-5521829</t>
  </si>
  <si>
    <t>111-4655012-7585868</t>
  </si>
  <si>
    <t>111-0044396-1579421</t>
  </si>
  <si>
    <t>111-4110473-1866630</t>
  </si>
  <si>
    <t>Return Jun05 arrived ITSPS</t>
    <phoneticPr fontId="1" type="noConversion"/>
  </si>
  <si>
    <t xml:space="preserve">Return arrived ITSPS </t>
    <phoneticPr fontId="1" type="noConversion"/>
  </si>
  <si>
    <t>Return arrived wating refund</t>
    <phoneticPr fontId="1" type="noConversion"/>
  </si>
  <si>
    <t>dlyn_89</t>
  </si>
  <si>
    <t>Dana Wollitz</t>
  </si>
  <si>
    <t>dlynn281@yahoo.com</t>
  </si>
  <si>
    <t>+1 779-772-9685</t>
  </si>
  <si>
    <t>shirleyslbriggs</t>
  </si>
  <si>
    <t>slbriggs@bellsouth.net</t>
  </si>
  <si>
    <t>+1 772-834-7470</t>
  </si>
  <si>
    <t>gtiae03</t>
  </si>
  <si>
    <t>Albert Ramos</t>
  </si>
  <si>
    <t>ramos.albert@gmail.com</t>
  </si>
  <si>
    <t>+1 305-822-6972</t>
  </si>
  <si>
    <t>cortizdiaz_12 ------ PR --- Can</t>
    <phoneticPr fontId="1" type="noConversion"/>
  </si>
  <si>
    <t>Cancelled PR</t>
    <phoneticPr fontId="1" type="noConversion"/>
  </si>
  <si>
    <t>carmeloortiz86@yahoo.com</t>
  </si>
  <si>
    <t>+1 939-277-9610</t>
  </si>
  <si>
    <t xml:space="preserve">pjma1971 ------------- Return </t>
    <phoneticPr fontId="1" type="noConversion"/>
  </si>
  <si>
    <t>US Weight 30 lb</t>
    <phoneticPr fontId="1" type="noConversion"/>
  </si>
  <si>
    <t>TAC Curtain - Bird</t>
    <phoneticPr fontId="1" type="noConversion"/>
  </si>
  <si>
    <t>TAC Curtain - Eyes</t>
    <phoneticPr fontId="1" type="noConversion"/>
  </si>
  <si>
    <t>TAC Curtain - Octopus</t>
    <phoneticPr fontId="1" type="noConversion"/>
  </si>
  <si>
    <t>canmcki_23</t>
  </si>
  <si>
    <t>Candice McKinney</t>
  </si>
  <si>
    <t>candicemckinney16@yahoo.com</t>
  </si>
  <si>
    <t>+1 562-350-1888</t>
  </si>
  <si>
    <t>madcow83</t>
  </si>
  <si>
    <t>Dragan Daubenmier</t>
  </si>
  <si>
    <t>dragan.daubenmier@gmail.com</t>
  </si>
  <si>
    <t>+1 480-994-5214</t>
  </si>
  <si>
    <t>Sandra Marie Cruz Lugo</t>
  </si>
  <si>
    <t>sandr_cruzl ------------------ PR</t>
    <phoneticPr fontId="1" type="noConversion"/>
  </si>
  <si>
    <t>2008smcl@gmail.com</t>
  </si>
  <si>
    <t>+1 787-615-8039</t>
  </si>
  <si>
    <t>cowboy4ever-2007</t>
  </si>
  <si>
    <t>kevin artz</t>
  </si>
  <si>
    <t>chevy_countryboy88@yahoo.com</t>
  </si>
  <si>
    <t>+1 419-463-8126</t>
  </si>
  <si>
    <t>dari1045</t>
  </si>
  <si>
    <t>David Risse</t>
  </si>
  <si>
    <t>drisse916@gmail.com</t>
  </si>
  <si>
    <t>+1 916-390-5165</t>
  </si>
  <si>
    <t>islanddreemer</t>
  </si>
  <si>
    <t>Melanie Olmstead</t>
  </si>
  <si>
    <t>two_4real@hotmail.com</t>
  </si>
  <si>
    <t>+1 208-908-1721</t>
  </si>
  <si>
    <t>TAC</t>
    <phoneticPr fontId="1" type="noConversion"/>
  </si>
  <si>
    <t>Weight 30LB</t>
    <phoneticPr fontId="1" type="noConversion"/>
  </si>
  <si>
    <t>ngchevyguy</t>
  </si>
  <si>
    <t>Robert Hudgens</t>
  </si>
  <si>
    <t>fxdwg79@gmail.com</t>
  </si>
  <si>
    <t>+1 812-535-4209</t>
  </si>
  <si>
    <t>Cheryl Esser</t>
    <phoneticPr fontId="1" type="noConversion"/>
  </si>
  <si>
    <t>Plano Tote 56 QT -- Black</t>
    <phoneticPr fontId="1" type="noConversion"/>
  </si>
  <si>
    <t>ronrod81 --- chg --- not found</t>
    <phoneticPr fontId="1" type="noConversion"/>
  </si>
  <si>
    <t>dannie1911 --- not found</t>
    <phoneticPr fontId="1" type="noConversion"/>
  </si>
  <si>
    <t>bevmanuelito --- not found</t>
    <phoneticPr fontId="1" type="noConversion"/>
  </si>
  <si>
    <t>113-1700433-1085039</t>
  </si>
  <si>
    <t>gallowork@yahoo.com</t>
  </si>
  <si>
    <t>jamiegallo72 --- not found</t>
    <phoneticPr fontId="1" type="noConversion"/>
  </si>
  <si>
    <t>karstepjoyc --- not found</t>
    <phoneticPr fontId="1" type="noConversion"/>
  </si>
  <si>
    <t>sichrissss --- not found</t>
    <phoneticPr fontId="1" type="noConversion"/>
  </si>
  <si>
    <t>111-6844890-7022651</t>
  </si>
  <si>
    <t>Jun11-12</t>
    <phoneticPr fontId="1" type="noConversion"/>
  </si>
  <si>
    <t>111-0240976-3364232</t>
  </si>
  <si>
    <t>Plano Tote 108 QT -- Grey</t>
    <phoneticPr fontId="1" type="noConversion"/>
  </si>
  <si>
    <t>clwipgi-lglqrmq</t>
  </si>
  <si>
    <t>William Clark</t>
  </si>
  <si>
    <t>willieljc@gmail.com</t>
  </si>
  <si>
    <t>+1 909-528-8676</t>
  </si>
  <si>
    <t>111-7545345-5730637</t>
  </si>
  <si>
    <t>Jun12</t>
    <phoneticPr fontId="1" type="noConversion"/>
  </si>
  <si>
    <t>9374889687090876587193</t>
    <phoneticPr fontId="1" type="noConversion"/>
  </si>
  <si>
    <t>TBA055832850101</t>
  </si>
  <si>
    <t>TBA056283672401</t>
  </si>
  <si>
    <t>9374889689090459176385</t>
    <phoneticPr fontId="1" type="noConversion"/>
  </si>
  <si>
    <t>TBA056501663401</t>
  </si>
  <si>
    <t>1Z3Y09F10337012136</t>
  </si>
  <si>
    <t>393635163118</t>
    <phoneticPr fontId="1" type="noConversion"/>
  </si>
  <si>
    <t>Karlena Wray</t>
  </si>
  <si>
    <t>karlenawray33@gmail.com</t>
  </si>
  <si>
    <t>+1 618-414-0571</t>
  </si>
  <si>
    <t>manchus30</t>
  </si>
  <si>
    <t>mjpetty20@gmail.com</t>
  </si>
  <si>
    <t>+1 715-495-3201</t>
  </si>
  <si>
    <t>grayo_47</t>
  </si>
  <si>
    <t>Kim Gibson</t>
  </si>
  <si>
    <t>grayozzy81@gmail.com</t>
  </si>
  <si>
    <t>+1 864-425-1515</t>
  </si>
  <si>
    <t>sumo-422380</t>
  </si>
  <si>
    <t>Susan Mohr</t>
  </si>
  <si>
    <t>semohr59@gmail.com</t>
  </si>
  <si>
    <t>+1 316-208-5152</t>
  </si>
  <si>
    <t>111-0134840-9368271</t>
  </si>
  <si>
    <t>111-2539453-5187469</t>
  </si>
  <si>
    <t>111-9514911-8063454</t>
  </si>
  <si>
    <t>111-1609533-0390669</t>
  </si>
  <si>
    <t>Jul10</t>
    <phoneticPr fontId="1" type="noConversion"/>
  </si>
  <si>
    <t>Jul06</t>
    <phoneticPr fontId="1" type="noConversion"/>
  </si>
  <si>
    <t>111-8455303-7673859</t>
  </si>
  <si>
    <t>Jul11</t>
    <phoneticPr fontId="1" type="noConversion"/>
  </si>
  <si>
    <t>TBA055870110501</t>
  </si>
  <si>
    <t>111-2383067-0236218</t>
  </si>
  <si>
    <t>VM</t>
    <phoneticPr fontId="1" type="noConversion"/>
  </si>
  <si>
    <t>Chris Cochran</t>
  </si>
  <si>
    <t>chris.rcrichardson@sbcglobal.net</t>
  </si>
  <si>
    <t>+1 504-654-9288</t>
  </si>
  <si>
    <t xml:space="preserve">nolatool </t>
    <phoneticPr fontId="1" type="noConversion"/>
  </si>
  <si>
    <t>colonelboone</t>
  </si>
  <si>
    <t>Alex Holland</t>
  </si>
  <si>
    <t>colonelboone18@gmail.com</t>
  </si>
  <si>
    <t>+1 916-201-2123</t>
  </si>
  <si>
    <t>tm_us_jkwt95kx</t>
  </si>
  <si>
    <t>Teresa Mann</t>
  </si>
  <si>
    <t>tmmann55@gmail.com</t>
  </si>
  <si>
    <t>+1 732-363-3711</t>
  </si>
  <si>
    <t>111-6954067-9845842</t>
  </si>
  <si>
    <t>kakar.us.uabcegh2</t>
    <phoneticPr fontId="1" type="noConversion"/>
  </si>
  <si>
    <t>1Z81R984YN13668026</t>
    <phoneticPr fontId="1" type="noConversion"/>
  </si>
  <si>
    <t>USP SurePost</t>
    <phoneticPr fontId="1" type="noConversion"/>
  </si>
  <si>
    <t>Sharon Aves</t>
    <phoneticPr fontId="1" type="noConversion"/>
  </si>
  <si>
    <t>393658780666</t>
    <phoneticPr fontId="1" type="noConversion"/>
  </si>
  <si>
    <t>cjzogg88@gmail.com</t>
  </si>
  <si>
    <t>+1 508-930-6258</t>
  </si>
  <si>
    <t>cjzo_10</t>
  </si>
  <si>
    <t>Chris Joseph</t>
  </si>
  <si>
    <t>zuggie1</t>
  </si>
  <si>
    <t>Andy Zugenbuehler</t>
  </si>
  <si>
    <t>US Weight 20 lb</t>
    <phoneticPr fontId="1" type="noConversion"/>
  </si>
  <si>
    <t>azuggie@yahoo.com</t>
  </si>
  <si>
    <t>+1 815-791-2632</t>
  </si>
  <si>
    <t>LN844845189CN</t>
  </si>
  <si>
    <t>AS</t>
    <phoneticPr fontId="1" type="noConversion"/>
  </si>
  <si>
    <r>
      <rPr>
        <sz val="10"/>
        <color rgb="FFFF0000"/>
        <rFont val="Arial Unicode MS"/>
        <family val="2"/>
        <charset val="136"/>
      </rPr>
      <t>sharona2311</t>
    </r>
    <r>
      <rPr>
        <sz val="10"/>
        <color theme="1"/>
        <rFont val="Arial Unicode MS"/>
        <family val="2"/>
        <charset val="136"/>
      </rPr>
      <t xml:space="preserve"> -------- Can</t>
    </r>
    <phoneticPr fontId="1" type="noConversion"/>
  </si>
  <si>
    <t>1Z82V99Y0202784949</t>
    <phoneticPr fontId="1" type="noConversion"/>
  </si>
  <si>
    <t>9374889675090900357377</t>
    <phoneticPr fontId="1" type="noConversion"/>
  </si>
  <si>
    <t xml:space="preserve">1Z6AV9790306955459  </t>
  </si>
  <si>
    <t>9205590213423203657576</t>
    <phoneticPr fontId="1" type="noConversion"/>
  </si>
  <si>
    <t>9205590213423203658825</t>
    <phoneticPr fontId="1" type="noConversion"/>
  </si>
  <si>
    <t>111-8463004-4434622</t>
  </si>
  <si>
    <t>111-6881306-6209857</t>
  </si>
  <si>
    <t>111-5458031-9707403</t>
  </si>
  <si>
    <t>111-9133114-8140262</t>
  </si>
  <si>
    <t>aviles0126 --------------------- PR</t>
    <phoneticPr fontId="1" type="noConversion"/>
  </si>
  <si>
    <t>Roberto Avilés</t>
    <phoneticPr fontId="1" type="noConversion"/>
  </si>
  <si>
    <t>Joseph Jiminez</t>
    <phoneticPr fontId="1" type="noConversion"/>
  </si>
  <si>
    <t>9374889682090912193338</t>
    <phoneticPr fontId="1" type="noConversion"/>
  </si>
  <si>
    <t>sakris2390</t>
  </si>
  <si>
    <t>Sarah Kristoff</t>
  </si>
  <si>
    <t>mskristoff27@gmail.com</t>
  </si>
  <si>
    <t>+1 330-432-7846</t>
  </si>
  <si>
    <t>andkap_87</t>
  </si>
  <si>
    <t>Andrew Kapral</t>
  </si>
  <si>
    <t>kaprala@comcast.net</t>
  </si>
  <si>
    <t>+1 412-651-2670</t>
  </si>
  <si>
    <t>I miss this trans till buyer ask me, cancel</t>
    <phoneticPr fontId="1" type="noConversion"/>
  </si>
  <si>
    <t>1Z3017E8YW04094417</t>
  </si>
  <si>
    <t>TBA057517592301</t>
  </si>
  <si>
    <t>TBA057693797301</t>
  </si>
  <si>
    <t>111-3603514-3118657</t>
  </si>
  <si>
    <t>Jun25-26</t>
    <phoneticPr fontId="1" type="noConversion"/>
  </si>
  <si>
    <t>Jul11-12</t>
    <phoneticPr fontId="1" type="noConversion"/>
  </si>
  <si>
    <t>Plano Tote 68 QT -- Black</t>
    <phoneticPr fontId="1" type="noConversion"/>
  </si>
  <si>
    <t>Jun10</t>
    <phoneticPr fontId="1" type="noConversion"/>
  </si>
  <si>
    <t>TBA057859328701</t>
  </si>
  <si>
    <t>TBA058074057701</t>
  </si>
  <si>
    <t>TBA058247253201</t>
  </si>
  <si>
    <r>
      <t xml:space="preserve">katiaa0117 ---------- PR </t>
    </r>
    <r>
      <rPr>
        <sz val="10"/>
        <color rgb="FFFF0000"/>
        <rFont val="Arial Unicode MS"/>
        <family val="2"/>
        <charset val="136"/>
      </rPr>
      <t>Can</t>
    </r>
    <phoneticPr fontId="1" type="noConversion"/>
  </si>
  <si>
    <t>Shirley Briggs</t>
    <phoneticPr fontId="1" type="noConversion"/>
  </si>
  <si>
    <t>Cancelled  PR</t>
    <phoneticPr fontId="1" type="noConversion"/>
  </si>
  <si>
    <t>US Weight 40 lb</t>
    <phoneticPr fontId="1" type="noConversion"/>
  </si>
  <si>
    <t>cwstevens43</t>
  </si>
  <si>
    <t>Chris Stevens</t>
  </si>
  <si>
    <t>cdubsquare.cs@gmail.com</t>
  </si>
  <si>
    <t>+1 913-488-7265</t>
  </si>
  <si>
    <t>elizgar5633</t>
  </si>
  <si>
    <t>elizabeth garner</t>
  </si>
  <si>
    <t>elizabethf2f@gmail.com</t>
  </si>
  <si>
    <t>+1 910-528-1652</t>
  </si>
  <si>
    <t>amaras089</t>
  </si>
  <si>
    <t>Toni Jones</t>
  </si>
  <si>
    <t>tsjones2922@yahoo.com</t>
  </si>
  <si>
    <t>+1 520-256-1871</t>
  </si>
  <si>
    <t>chach3213_wx42kkj0e</t>
  </si>
  <si>
    <t>Charles Reed</t>
  </si>
  <si>
    <t>charlesreed3110@gmail.com</t>
  </si>
  <si>
    <t>+1 304-785-0246</t>
  </si>
  <si>
    <t>1Z6792X10306155220</t>
  </si>
  <si>
    <t>TBA230134959000</t>
  </si>
  <si>
    <t>nolatool --- Can Request Double Ord</t>
    <phoneticPr fontId="1" type="noConversion"/>
  </si>
  <si>
    <t>111-3287306-8775418</t>
    <phoneticPr fontId="1" type="noConversion"/>
  </si>
  <si>
    <t>Cancel and re-order</t>
    <phoneticPr fontId="1" type="noConversion"/>
  </si>
  <si>
    <t>mignog_96</t>
  </si>
  <si>
    <t>Jericha Ivey</t>
  </si>
  <si>
    <t>mignognagirl@yahoo.com</t>
  </si>
  <si>
    <t>+1 501-766-0153</t>
  </si>
  <si>
    <t>endothrow</t>
  </si>
  <si>
    <t>Aaron Berkey</t>
  </si>
  <si>
    <t>aaronberkey@gmail.com</t>
  </si>
  <si>
    <t>+1 312-953-1978</t>
  </si>
  <si>
    <t>111-1137954-8909816</t>
  </si>
  <si>
    <t>111-4487198-8039412</t>
  </si>
  <si>
    <t>Jun17</t>
    <phoneticPr fontId="1" type="noConversion"/>
  </si>
  <si>
    <t>111-3624802-9228219</t>
  </si>
  <si>
    <t>Gamaliel Delgado</t>
    <phoneticPr fontId="1" type="noConversion"/>
  </si>
  <si>
    <t>TBA058807586301</t>
  </si>
  <si>
    <t>mattransam</t>
  </si>
  <si>
    <t>Matt Roeder</t>
  </si>
  <si>
    <t>jasonleo73@yahoo.com</t>
  </si>
  <si>
    <t>+1 573-513-6030</t>
  </si>
  <si>
    <t>jasonleo73</t>
  </si>
  <si>
    <t>jason kiefer</t>
  </si>
  <si>
    <t>matt_roeder@hotmail.com</t>
  </si>
  <si>
    <t>+1 712-269-1434</t>
  </si>
  <si>
    <t>9374889688090796114607</t>
    <phoneticPr fontId="1" type="noConversion"/>
  </si>
  <si>
    <t>9374889687090878494192</t>
    <phoneticPr fontId="1" type="noConversion"/>
  </si>
  <si>
    <t>BQBS</t>
    <phoneticPr fontId="1" type="noConversion"/>
  </si>
  <si>
    <t>111-0060352-1509009</t>
  </si>
  <si>
    <t>Jun19-23</t>
    <phoneticPr fontId="1" type="noConversion"/>
  </si>
  <si>
    <t>111-1792034-1460211</t>
  </si>
  <si>
    <t>ronfre4395</t>
  </si>
  <si>
    <t>Ronald Freeman</t>
  </si>
  <si>
    <t>rkfreeman@verizon.net</t>
  </si>
  <si>
    <t>+1 276-973-8821</t>
  </si>
  <si>
    <t xml:space="preserve">111-0846384-1750660 </t>
  </si>
  <si>
    <t>Jun15</t>
    <phoneticPr fontId="1" type="noConversion"/>
  </si>
  <si>
    <t>111-4034046-5976263</t>
  </si>
  <si>
    <t>111-9558063-2997028</t>
  </si>
  <si>
    <t>9374889675090899452985</t>
    <phoneticPr fontId="1" type="noConversion"/>
  </si>
  <si>
    <t>9205590213422207489756</t>
    <phoneticPr fontId="1" type="noConversion"/>
  </si>
  <si>
    <t>cano969 ---------- PR</t>
    <phoneticPr fontId="1" type="noConversion"/>
  </si>
  <si>
    <t>TBA058120216101</t>
  </si>
  <si>
    <t>Jun11 Del</t>
    <phoneticPr fontId="1" type="noConversion"/>
  </si>
  <si>
    <t>Jul11 Del</t>
    <phoneticPr fontId="1" type="noConversion"/>
  </si>
  <si>
    <t>9374889688090796210200</t>
    <phoneticPr fontId="1" type="noConversion"/>
  </si>
  <si>
    <t>111-7262692-7281059</t>
  </si>
  <si>
    <t>Jun20-24</t>
    <phoneticPr fontId="1" type="noConversion"/>
  </si>
  <si>
    <t>Curtain - Bamboo Stalk</t>
    <phoneticPr fontId="1" type="noConversion"/>
  </si>
  <si>
    <t>joe_woody</t>
  </si>
  <si>
    <t>Rick DiRienzo</t>
  </si>
  <si>
    <t>ricknor33406@yahoo.com</t>
  </si>
  <si>
    <t>+1 561-329-9244</t>
  </si>
  <si>
    <t>jaimpined_9</t>
  </si>
  <si>
    <t>Jaime Pinedo</t>
  </si>
  <si>
    <t>jdpinedo@live.com</t>
  </si>
  <si>
    <t>+1 201-892-9485</t>
  </si>
  <si>
    <t>111-7294931-3807401</t>
  </si>
  <si>
    <t>Jun16</t>
    <phoneticPr fontId="1" type="noConversion"/>
  </si>
  <si>
    <t>Marcus Petty</t>
    <phoneticPr fontId="1" type="noConversion"/>
  </si>
  <si>
    <t>Curtain - Guitar</t>
    <phoneticPr fontId="1" type="noConversion"/>
  </si>
  <si>
    <t>111-9473903-2983400</t>
  </si>
  <si>
    <t>111-5749495-9781821</t>
  </si>
  <si>
    <t>US Weight</t>
    <phoneticPr fontId="1" type="noConversion"/>
  </si>
  <si>
    <t>2013chevy1981</t>
  </si>
  <si>
    <t>Frank Rench</t>
  </si>
  <si>
    <t>frankrench@gmail.com</t>
  </si>
  <si>
    <t>+1 207-408-8791</t>
  </si>
  <si>
    <t>Zoro</t>
    <phoneticPr fontId="1" type="noConversion"/>
  </si>
  <si>
    <t>1Z0W37F10270714815</t>
  </si>
  <si>
    <t>9274890990132100531461</t>
    <phoneticPr fontId="1" type="noConversion"/>
  </si>
  <si>
    <t>TBA059609565601</t>
  </si>
  <si>
    <t>AL</t>
    <phoneticPr fontId="1" type="noConversion"/>
  </si>
  <si>
    <t>TBA059624490401</t>
  </si>
  <si>
    <t>Hawaii Case</t>
    <phoneticPr fontId="1" type="noConversion"/>
  </si>
  <si>
    <t>Need Return</t>
    <phoneticPr fontId="1" type="noConversion"/>
  </si>
  <si>
    <t>#364-SO17232105</t>
  </si>
  <si>
    <t>393770812956</t>
    <phoneticPr fontId="1" type="noConversion"/>
  </si>
  <si>
    <t>9405511899223224694584</t>
    <phoneticPr fontId="1" type="noConversion"/>
  </si>
  <si>
    <t>111-6478462-2700256</t>
  </si>
  <si>
    <t>Jun14-15</t>
    <phoneticPr fontId="1" type="noConversion"/>
  </si>
  <si>
    <t>111-7500253-3468266</t>
  </si>
  <si>
    <t>Jun14-17</t>
    <phoneticPr fontId="1" type="noConversion"/>
  </si>
  <si>
    <t>jgarten12</t>
  </si>
  <si>
    <t>James M Garten</t>
  </si>
  <si>
    <t>jgarten1@gmail.com</t>
  </si>
  <si>
    <t>+1 816-699-1852</t>
  </si>
  <si>
    <t>TBA059842650201</t>
  </si>
  <si>
    <t>AL</t>
    <phoneticPr fontId="1" type="noConversion"/>
  </si>
  <si>
    <t>Jun12 del</t>
    <phoneticPr fontId="1" type="noConversion"/>
  </si>
  <si>
    <t>TBA060153060801</t>
  </si>
  <si>
    <t>9374889695090581108385</t>
    <phoneticPr fontId="1" type="noConversion"/>
  </si>
  <si>
    <t>USPS</t>
    <phoneticPr fontId="1" type="noConversion"/>
  </si>
  <si>
    <t>chkolo56</t>
  </si>
  <si>
    <t>chad kolodziej</t>
  </si>
  <si>
    <t>ashleykolodziej28@gmail.com</t>
  </si>
  <si>
    <t>+1 413-672-7660</t>
  </si>
  <si>
    <t>MyQuickBuy</t>
    <phoneticPr fontId="1" type="noConversion"/>
  </si>
  <si>
    <t>111-2858211-8617067</t>
  </si>
  <si>
    <t>Jun22-24</t>
    <phoneticPr fontId="1" type="noConversion"/>
  </si>
  <si>
    <t>Not Yet Available PR</t>
    <phoneticPr fontId="1" type="noConversion"/>
  </si>
  <si>
    <t>Jun17 Rev</t>
    <phoneticPr fontId="1" type="noConversion"/>
  </si>
  <si>
    <t>1Z5937E30345271878</t>
  </si>
  <si>
    <t>UPS</t>
    <phoneticPr fontId="1" type="noConversion"/>
  </si>
  <si>
    <t>1Z81WY11YN27669673</t>
  </si>
  <si>
    <t>TBA059710135901</t>
  </si>
  <si>
    <t>duallyg24</t>
  </si>
  <si>
    <t>Wanda Paxton</t>
  </si>
  <si>
    <t>duallygirl11347@yahoo.com</t>
  </si>
  <si>
    <t>+1 503-804-1035</t>
  </si>
  <si>
    <t>VM</t>
    <phoneticPr fontId="1" type="noConversion"/>
  </si>
  <si>
    <t>Jun17</t>
    <phoneticPr fontId="1" type="noConversion"/>
  </si>
  <si>
    <t>111-1327439-2661830</t>
  </si>
  <si>
    <r>
      <t xml:space="preserve">cliffes85ss ----------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</si>
  <si>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r>
      <t xml:space="preserve">eliznie28  --------- PR  Refund </t>
    </r>
    <r>
      <rPr>
        <sz val="10"/>
        <color rgb="FFFF0000"/>
        <rFont val="Arial Unicode MS"/>
        <family val="2"/>
        <charset val="136"/>
      </rPr>
      <t>Req</t>
    </r>
    <phoneticPr fontId="1" type="noConversion"/>
  </si>
  <si>
    <t>111-1953254-8079406</t>
  </si>
  <si>
    <t>27-05212-46089</t>
  </si>
  <si>
    <t>393809825570</t>
    <phoneticPr fontId="1" type="noConversion"/>
  </si>
  <si>
    <t>Fedex</t>
    <phoneticPr fontId="1" type="noConversion"/>
  </si>
  <si>
    <t>111-2233471-0009010</t>
  </si>
  <si>
    <t>Jun19-24</t>
    <phoneticPr fontId="1" type="noConversion"/>
  </si>
  <si>
    <t xml:space="preserve">111-4405173-6610640 </t>
  </si>
  <si>
    <t>9361289686090577023148</t>
    <phoneticPr fontId="1" type="noConversion"/>
  </si>
  <si>
    <t>9374889685090709495390</t>
    <phoneticPr fontId="1" type="noConversion"/>
  </si>
  <si>
    <t>jbford329</t>
  </si>
  <si>
    <t>LeRoy Rubinas</t>
  </si>
  <si>
    <t>steamshipjbfordhistorical@hotmail.com</t>
  </si>
  <si>
    <t>+1 716-897-5644</t>
  </si>
  <si>
    <t>atorrents</t>
  </si>
  <si>
    <t>Jared Hammad/Anna Torrents</t>
  </si>
  <si>
    <t>torrents.anna@gmail.com</t>
  </si>
  <si>
    <t>+1 949-742-1935</t>
  </si>
  <si>
    <t>Chase shipping</t>
    <phoneticPr fontId="1" type="noConversion"/>
  </si>
  <si>
    <t>9361289705090650289762</t>
    <phoneticPr fontId="1" type="noConversion"/>
  </si>
  <si>
    <t>Arrived Jun13</t>
    <phoneticPr fontId="1" type="noConversion"/>
  </si>
  <si>
    <t>26days</t>
    <phoneticPr fontId="1" type="noConversion"/>
  </si>
  <si>
    <t>Jun14 Del</t>
    <phoneticPr fontId="1" type="noConversion"/>
  </si>
  <si>
    <t>AZ refunded Jun14</t>
    <phoneticPr fontId="1" type="noConversion"/>
  </si>
  <si>
    <t>393813157249</t>
    <phoneticPr fontId="1" type="noConversion"/>
  </si>
  <si>
    <t>05-05216-78159</t>
    <phoneticPr fontId="1" type="noConversion"/>
  </si>
  <si>
    <t>VM Kit</t>
    <phoneticPr fontId="1" type="noConversion"/>
  </si>
  <si>
    <t>393820263032</t>
    <phoneticPr fontId="1" type="noConversion"/>
  </si>
  <si>
    <t>24-05225-52630</t>
    <phoneticPr fontId="1" type="noConversion"/>
  </si>
  <si>
    <t>Jun13 Del</t>
    <phoneticPr fontId="1" type="noConversion"/>
  </si>
  <si>
    <t>Jun12 Del</t>
    <phoneticPr fontId="1" type="noConversion"/>
  </si>
  <si>
    <t>francisco rivera</t>
  </si>
  <si>
    <t>111-2342726-5931428</t>
  </si>
  <si>
    <t>Jun16-17</t>
    <phoneticPr fontId="1" type="noConversion"/>
  </si>
  <si>
    <t>frmedina2408_2 -------------- PR</t>
    <phoneticPr fontId="1" type="noConversion"/>
  </si>
  <si>
    <t>tammiwewer-0</t>
  </si>
  <si>
    <t>Tammie Wewers</t>
  </si>
  <si>
    <t>tammie.wewers@yahoo.com</t>
  </si>
  <si>
    <t>+1 785-307-6860</t>
  </si>
  <si>
    <t>ajcmop-6 ----------------- PR</t>
    <phoneticPr fontId="1" type="noConversion"/>
  </si>
  <si>
    <t>9205590213422737548855</t>
    <phoneticPr fontId="1" type="noConversion"/>
  </si>
  <si>
    <t>Jun13 shipped</t>
    <phoneticPr fontId="1" type="noConversion"/>
  </si>
  <si>
    <t>Refuned by SeasonWide -$4.99</t>
    <phoneticPr fontId="1" type="noConversion"/>
  </si>
  <si>
    <t>Plano Tote 68 QT -- Black</t>
    <phoneticPr fontId="1" type="noConversion"/>
  </si>
  <si>
    <t>Metal Plate - Geeko 6</t>
    <phoneticPr fontId="1" type="noConversion"/>
  </si>
  <si>
    <t>Plano Tote 108 QT -- Black</t>
    <phoneticPr fontId="1" type="noConversion"/>
  </si>
  <si>
    <t>#TC1023</t>
  </si>
  <si>
    <t>#TC1022</t>
    <phoneticPr fontId="1" type="noConversion"/>
  </si>
  <si>
    <t>92055901755477000187059189</t>
    <phoneticPr fontId="1" type="noConversion"/>
  </si>
  <si>
    <t>92055901755477000187059172</t>
    <phoneticPr fontId="1" type="noConversion"/>
  </si>
  <si>
    <t>Jun11</t>
    <phoneticPr fontId="1" type="noConversion"/>
  </si>
  <si>
    <t>Amazon</t>
    <phoneticPr fontId="1" type="noConversion"/>
  </si>
  <si>
    <t>Curtain - Virgin Mary</t>
    <phoneticPr fontId="1" type="noConversion"/>
  </si>
  <si>
    <t>Plano Tote 56 QT -- Green</t>
    <phoneticPr fontId="1" type="noConversion"/>
  </si>
  <si>
    <t>Curtain - Café</t>
    <phoneticPr fontId="1" type="noConversion"/>
  </si>
  <si>
    <t>the-diva-of-stuff</t>
  </si>
  <si>
    <t>Joelle Joyce</t>
  </si>
  <si>
    <t>joelle.joyce@gmail.com</t>
  </si>
  <si>
    <t>+1 720-272-5389</t>
  </si>
  <si>
    <t>Curtain Café</t>
    <phoneticPr fontId="1" type="noConversion"/>
  </si>
  <si>
    <t>108 QT Black</t>
    <phoneticPr fontId="1" type="noConversion"/>
  </si>
  <si>
    <t>ssauer24</t>
  </si>
  <si>
    <t>Sandra Sauer</t>
  </si>
  <si>
    <t>sssauer@aol.com</t>
  </si>
  <si>
    <t>+1 484-336-6844</t>
  </si>
  <si>
    <t>amaru-2469</t>
  </si>
  <si>
    <t>Amanda Rush</t>
  </si>
  <si>
    <t>amrushstatements@gmail.com</t>
  </si>
  <si>
    <t>+1 765-470-1490</t>
  </si>
  <si>
    <t>Metal Plate -- Turtle 3 pcs</t>
    <phoneticPr fontId="1" type="noConversion"/>
  </si>
  <si>
    <t>Intex 10747 Plunger</t>
    <phoneticPr fontId="1" type="noConversion"/>
  </si>
  <si>
    <t>tooffairy2403</t>
  </si>
  <si>
    <t>Peggy Dotseth</t>
  </si>
  <si>
    <t>tooffairy@windstream.net</t>
  </si>
  <si>
    <t>+1 704-796-4060</t>
  </si>
  <si>
    <t>shke_kpu_91ptllsx</t>
  </si>
  <si>
    <t>Kevin Sherry</t>
  </si>
  <si>
    <t>kpup9@yahoo.com</t>
  </si>
  <si>
    <t>+1 617-680-4688</t>
  </si>
  <si>
    <t>grtsnowbear@yahoo.com</t>
  </si>
  <si>
    <t>+1 805-444-5030</t>
  </si>
  <si>
    <t>rayskid1</t>
  </si>
  <si>
    <t>197098</t>
    <phoneticPr fontId="1" type="noConversion"/>
  </si>
  <si>
    <t>Camila Auberry</t>
  </si>
  <si>
    <t>Donald Maddock</t>
  </si>
  <si>
    <t>donlaura3@msn.com</t>
  </si>
  <si>
    <t>+1 732-206-0059</t>
  </si>
  <si>
    <t>neuroptera66</t>
  </si>
  <si>
    <t>Matthew Miller</t>
  </si>
  <si>
    <t>atomicdawn13@sbcglobal.net</t>
  </si>
  <si>
    <t>+1 810-941-8306</t>
  </si>
  <si>
    <t>addan.hoxo6py</t>
  </si>
  <si>
    <t>Dana Andersen</t>
  </si>
  <si>
    <t>danamanderen@icloud.com</t>
  </si>
  <si>
    <t>+1 417-280-7440</t>
  </si>
  <si>
    <t>mayre-marth</t>
  </si>
  <si>
    <t>Martha Mayrell</t>
  </si>
  <si>
    <t>mayrellm@hotmail.com</t>
  </si>
  <si>
    <t>+1 903-583-8957</t>
  </si>
  <si>
    <t>Elisa Rivera</t>
  </si>
  <si>
    <t>iveka61@gmail.com</t>
  </si>
  <si>
    <t>3598520</t>
    <phoneticPr fontId="1" type="noConversion"/>
  </si>
  <si>
    <t>jborken</t>
  </si>
  <si>
    <t>jennieborken@yahoo.com</t>
  </si>
  <si>
    <t>+1 612-875-0675</t>
  </si>
  <si>
    <t>stidhjeffr</t>
  </si>
  <si>
    <t>Jeffrey Stidham</t>
  </si>
  <si>
    <t>jeffrey.stidham@gmail.com</t>
  </si>
  <si>
    <t>+1 661-706-2484</t>
  </si>
  <si>
    <t>Intex Cooler Mega I</t>
    <phoneticPr fontId="1" type="noConversion"/>
  </si>
  <si>
    <t>debbyreed71@hotmail.com</t>
  </si>
  <si>
    <t>+1 740-438-9169</t>
  </si>
  <si>
    <t>Jesus Velazquez</t>
  </si>
  <si>
    <t>pito.barber18@gmail.com</t>
  </si>
  <si>
    <t>+1 787-688-4073</t>
  </si>
  <si>
    <t>pito.b-23  ------------------------ PR</t>
    <phoneticPr fontId="1" type="noConversion"/>
  </si>
  <si>
    <t>#887-SO17261280</t>
  </si>
  <si>
    <t>TBA062276318701</t>
  </si>
  <si>
    <t>393825707439</t>
    <phoneticPr fontId="1" type="noConversion"/>
  </si>
  <si>
    <t>Mailed</t>
    <phoneticPr fontId="1" type="noConversion"/>
  </si>
  <si>
    <t>** Kit Responed</t>
    <phoneticPr fontId="1" type="noConversion"/>
  </si>
  <si>
    <t>Cancelled</t>
    <phoneticPr fontId="1" type="noConversion"/>
  </si>
  <si>
    <t>Cancelled PR</t>
    <phoneticPr fontId="1" type="noConversion"/>
  </si>
  <si>
    <t>Intex 10747 Plunger x 2</t>
    <phoneticPr fontId="1" type="noConversion"/>
  </si>
  <si>
    <t xml:space="preserve"> </t>
    <phoneticPr fontId="1" type="noConversion"/>
  </si>
  <si>
    <t>juliesguy7</t>
  </si>
  <si>
    <t>Michael Gallagher</t>
  </si>
  <si>
    <t>maglghr@gmail.com</t>
  </si>
  <si>
    <t>+1 937-857-9658</t>
  </si>
  <si>
    <t>111-4951443-9632252</t>
  </si>
  <si>
    <t>111-9287891-2581819</t>
  </si>
  <si>
    <t>elisar*36 ------------------------- PR</t>
    <phoneticPr fontId="1" type="noConversion"/>
  </si>
  <si>
    <t>111-1385715-1664261</t>
  </si>
  <si>
    <t>9405509898642975276852</t>
    <phoneticPr fontId="1" type="noConversion"/>
  </si>
  <si>
    <t>9400116901628797377968</t>
    <phoneticPr fontId="1" type="noConversion"/>
  </si>
  <si>
    <t>9400116901628797377661</t>
    <phoneticPr fontId="1" type="noConversion"/>
  </si>
  <si>
    <t>TBA061560508501</t>
  </si>
  <si>
    <t>bigblock682</t>
  </si>
  <si>
    <t>Brad or Jennifer Bauer</t>
  </si>
  <si>
    <t>chloe.puppy@hotmail.com</t>
  </si>
  <si>
    <t>+1 785-243-9838</t>
  </si>
  <si>
    <t>111-0603092-6999455</t>
  </si>
  <si>
    <t xml:space="preserve">111-1306363-9097010 </t>
  </si>
  <si>
    <t>111-6656959-5082601</t>
  </si>
  <si>
    <t>111-2122156-5327437</t>
  </si>
  <si>
    <t>Jun23</t>
    <phoneticPr fontId="1" type="noConversion"/>
  </si>
  <si>
    <t>111-7256151-2902617</t>
  </si>
  <si>
    <t>393848052569</t>
    <phoneticPr fontId="1" type="noConversion"/>
  </si>
  <si>
    <t>9374889680090733077888</t>
    <phoneticPr fontId="1" type="noConversion"/>
  </si>
  <si>
    <t xml:space="preserve">111-7131360-7384244 </t>
  </si>
  <si>
    <t>Jun23-25</t>
    <phoneticPr fontId="1" type="noConversion"/>
  </si>
  <si>
    <t>Curtain - Wooden Door</t>
    <phoneticPr fontId="1" type="noConversion"/>
  </si>
  <si>
    <t>111-9758875-6722648</t>
  </si>
  <si>
    <t>111-5452544-7054665</t>
  </si>
  <si>
    <t>Jun18</t>
    <phoneticPr fontId="1" type="noConversion"/>
  </si>
  <si>
    <t xml:space="preserve">111-8804735-7637811 </t>
  </si>
  <si>
    <t>Y F MALL</t>
    <phoneticPr fontId="1" type="noConversion"/>
  </si>
  <si>
    <t>Curtain - Chakra</t>
    <phoneticPr fontId="1" type="noConversion"/>
  </si>
  <si>
    <t>Curtain - Fortune</t>
    <phoneticPr fontId="1" type="noConversion"/>
  </si>
  <si>
    <t>dianncar-3</t>
  </si>
  <si>
    <t>dianne cary</t>
  </si>
  <si>
    <t>vafonseca3320@gmail.com</t>
  </si>
  <si>
    <t>+1 323-514-3501</t>
  </si>
  <si>
    <t>diannemcary@gmail.com</t>
  </si>
  <si>
    <t>+1 651-214-7509</t>
  </si>
  <si>
    <t>vifonseca2011</t>
  </si>
  <si>
    <t>Vincent Fonseca</t>
  </si>
  <si>
    <t>astralprojection</t>
  </si>
  <si>
    <t>Jeremy Miller</t>
  </si>
  <si>
    <t>jmapplications@yahoo.com</t>
  </si>
  <si>
    <t>+1 626-374-1935</t>
  </si>
  <si>
    <t>9405509205568106762895</t>
    <phoneticPr fontId="1" type="noConversion"/>
  </si>
  <si>
    <t>9405509205568106762345</t>
    <phoneticPr fontId="1" type="noConversion"/>
  </si>
  <si>
    <t>1Z5937E30344577433</t>
    <phoneticPr fontId="1" type="noConversion"/>
  </si>
  <si>
    <t>Jun19</t>
    <phoneticPr fontId="1" type="noConversion"/>
  </si>
  <si>
    <t xml:space="preserve">111-6609707-2341810 </t>
  </si>
  <si>
    <t>111-8288215-8807452</t>
  </si>
  <si>
    <t>111-9606051-3651415</t>
  </si>
  <si>
    <t>frandelaros8</t>
  </si>
  <si>
    <t>Frank DelaRosa</t>
  </si>
  <si>
    <t>fdelarosa9@yahoo.com</t>
  </si>
  <si>
    <t>+1 757-893-0555</t>
  </si>
  <si>
    <t>111-9172479-8897045</t>
  </si>
  <si>
    <t>TBA062902884901</t>
  </si>
  <si>
    <t>1Z814VR60346024830</t>
  </si>
  <si>
    <t>1Z801F20YN12859374</t>
  </si>
  <si>
    <t>UPS Sure</t>
    <phoneticPr fontId="1" type="noConversion"/>
  </si>
  <si>
    <t>Jun16 del</t>
    <phoneticPr fontId="1" type="noConversion"/>
  </si>
  <si>
    <t>TBA063296252101</t>
  </si>
  <si>
    <t>9405511899223299322818</t>
    <phoneticPr fontId="1" type="noConversion"/>
  </si>
  <si>
    <t>393884156911</t>
    <phoneticPr fontId="1" type="noConversion"/>
  </si>
  <si>
    <t>9374889680090733204802</t>
    <phoneticPr fontId="1" type="noConversion"/>
  </si>
  <si>
    <t>1Z81FV500218317581</t>
  </si>
  <si>
    <t>1Z9743XV0225025663</t>
  </si>
  <si>
    <t>9374889678092622575838</t>
    <phoneticPr fontId="1" type="noConversion"/>
  </si>
  <si>
    <t>Not yet arrived</t>
    <phoneticPr fontId="1" type="noConversion"/>
  </si>
  <si>
    <t>candacercollins</t>
  </si>
  <si>
    <t>collinsconnect@gmail.com</t>
  </si>
  <si>
    <t>+1 214-686-8079</t>
  </si>
  <si>
    <t>9374889707090977321507</t>
    <phoneticPr fontId="1" type="noConversion"/>
  </si>
  <si>
    <t>TBA062765773501</t>
  </si>
  <si>
    <t>Jun15 Del</t>
    <phoneticPr fontId="1" type="noConversion"/>
  </si>
  <si>
    <t>kujo_1621</t>
  </si>
  <si>
    <t>Kurt Jones</t>
  </si>
  <si>
    <t>kurtjones1231@icloud.com</t>
  </si>
  <si>
    <t>+1 989-577-0226</t>
  </si>
  <si>
    <t>146ss</t>
  </si>
  <si>
    <t>thomas j bohnyak</t>
  </si>
  <si>
    <t>tomjamesmechanic@gmail.com</t>
  </si>
  <si>
    <t>+1 971-241-4927</t>
  </si>
  <si>
    <t>Debby Reed Shimabukuro</t>
    <phoneticPr fontId="1" type="noConversion"/>
  </si>
  <si>
    <t>9361289670090554167567</t>
    <phoneticPr fontId="1" type="noConversion"/>
  </si>
  <si>
    <t>1Z97515F0368453579</t>
  </si>
  <si>
    <t>japonecka17</t>
  </si>
  <si>
    <t>Martin Gula</t>
  </si>
  <si>
    <t>martingula1@gmail.com</t>
  </si>
  <si>
    <t>+1 630-873-0068</t>
  </si>
  <si>
    <t>111-6301041-0757828</t>
  </si>
  <si>
    <t>111-6767084-9365065</t>
  </si>
  <si>
    <t>Kaizen8</t>
    <phoneticPr fontId="1" type="noConversion"/>
  </si>
  <si>
    <t>cato-n-coco</t>
  </si>
  <si>
    <t>Loni Averitt</t>
  </si>
  <si>
    <t>loni@windstream.net</t>
  </si>
  <si>
    <t>+1 830-896-0072</t>
  </si>
  <si>
    <t>kaykei_73</t>
  </si>
  <si>
    <t>Kaylee Keigher</t>
  </si>
  <si>
    <t>ites.kaylee@gmail.com</t>
  </si>
  <si>
    <t>+1 815-383-6520</t>
  </si>
  <si>
    <t>Intex 10127 Stopper</t>
    <phoneticPr fontId="1" type="noConversion"/>
  </si>
  <si>
    <t>salco-5626</t>
  </si>
  <si>
    <t>salisecooke@gmail.com</t>
  </si>
  <si>
    <t>+1 918-810-8104</t>
  </si>
  <si>
    <t>111-7834885-8089803</t>
  </si>
  <si>
    <t>Jun20</t>
    <phoneticPr fontId="1" type="noConversion"/>
  </si>
  <si>
    <t>BQBS</t>
    <phoneticPr fontId="1" type="noConversion"/>
  </si>
  <si>
    <t>Jun16-17 Del</t>
    <phoneticPr fontId="1" type="noConversion"/>
  </si>
  <si>
    <t>1Z81WV870313378948</t>
  </si>
  <si>
    <t>Jun22-Jul06</t>
    <phoneticPr fontId="1" type="noConversion"/>
  </si>
  <si>
    <t xml:space="preserve">111-9681691-8397838 </t>
  </si>
  <si>
    <t>Jun26-30</t>
    <phoneticPr fontId="1" type="noConversion"/>
  </si>
  <si>
    <t>salise cooke</t>
    <phoneticPr fontId="1" type="noConversion"/>
  </si>
  <si>
    <t>TBA064784924901</t>
    <phoneticPr fontId="1" type="noConversion"/>
  </si>
  <si>
    <t>Chris Nemeth</t>
  </si>
  <si>
    <t>buzzy200432@yahoo.com</t>
  </si>
  <si>
    <t>+1 716-328-7252</t>
  </si>
  <si>
    <t>I need to use a different card for payment</t>
  </si>
  <si>
    <t>Curtain - Stairway</t>
    <phoneticPr fontId="1" type="noConversion"/>
  </si>
  <si>
    <t>robin_lee_harlan</t>
  </si>
  <si>
    <t>Robin Harlan</t>
  </si>
  <si>
    <t>sclaywilson@gmail.com</t>
  </si>
  <si>
    <t>+1 215-528-2504</t>
  </si>
  <si>
    <t>US Wgt 40 lb</t>
    <phoneticPr fontId="1" type="noConversion"/>
  </si>
  <si>
    <t>US Wgt 20 lb</t>
    <phoneticPr fontId="1" type="noConversion"/>
  </si>
  <si>
    <t>giletojek</t>
  </si>
  <si>
    <t>Linda Tojek</t>
  </si>
  <si>
    <t>giletojek@aol.com</t>
  </si>
  <si>
    <t>+1 414-232-6587</t>
  </si>
  <si>
    <t>#367-SO17318787</t>
  </si>
  <si>
    <t>Zoro</t>
    <phoneticPr fontId="1" type="noConversion"/>
  </si>
  <si>
    <t>Jun17 Del</t>
    <phoneticPr fontId="1" type="noConversion"/>
  </si>
  <si>
    <t>111-5488353-8575459</t>
  </si>
  <si>
    <t>Jun26-30</t>
    <phoneticPr fontId="1" type="noConversion"/>
  </si>
  <si>
    <t>TBA064927233901</t>
  </si>
  <si>
    <t>TBA063889256401</t>
  </si>
  <si>
    <t>Jun18-19</t>
    <phoneticPr fontId="1" type="noConversion"/>
  </si>
  <si>
    <t>9361289671090719119935</t>
    <phoneticPr fontId="1" type="noConversion"/>
  </si>
  <si>
    <t>9405511899223296498509</t>
    <phoneticPr fontId="1" type="noConversion"/>
  </si>
  <si>
    <t>9300120111404927093037</t>
    <phoneticPr fontId="1" type="noConversion"/>
  </si>
  <si>
    <t>Jul17 Del</t>
    <phoneticPr fontId="1" type="noConversion"/>
  </si>
  <si>
    <t>julimoor_48</t>
  </si>
  <si>
    <t>Julie Moore</t>
  </si>
  <si>
    <t>GAME 4558 Hose Adapter</t>
    <phoneticPr fontId="1" type="noConversion"/>
  </si>
  <si>
    <t>jamoore79@hotmail.com</t>
  </si>
  <si>
    <t>+1 402-619-8572</t>
  </si>
  <si>
    <t>111-6521499-5069832</t>
  </si>
  <si>
    <t>111-5864310-6150658</t>
  </si>
  <si>
    <t>Jun20</t>
    <phoneticPr fontId="1" type="noConversion"/>
  </si>
  <si>
    <t>111-1661800-6601852</t>
  </si>
  <si>
    <t>Jun20-24</t>
    <phoneticPr fontId="1" type="noConversion"/>
  </si>
  <si>
    <t>HomeX - Cork Holder Wall</t>
    <phoneticPr fontId="1" type="noConversion"/>
  </si>
  <si>
    <t>williamjhawk</t>
  </si>
  <si>
    <t>Jack Kalyoussef</t>
  </si>
  <si>
    <t>jackkalyoussef@yahoo.com</t>
  </si>
  <si>
    <t>+1 973-204-1834</t>
  </si>
  <si>
    <t>111-4101044-4891456</t>
  </si>
  <si>
    <t>Jun20-21</t>
    <phoneticPr fontId="1" type="noConversion"/>
  </si>
  <si>
    <t>#441-SO17326704</t>
  </si>
  <si>
    <t>NEGATIVE problem</t>
    <phoneticPr fontId="1" type="noConversion"/>
  </si>
  <si>
    <t>willisarmsrepair@yahoo.com</t>
  </si>
  <si>
    <t>+1 318-230-4180</t>
  </si>
  <si>
    <t>willisarms</t>
  </si>
  <si>
    <t>James Willis</t>
  </si>
  <si>
    <t>buzzy600 -------------- Cancelled</t>
    <phoneticPr fontId="1" type="noConversion"/>
  </si>
  <si>
    <t>111-4059305-9185826</t>
  </si>
  <si>
    <t>Jun29-Jul01</t>
    <phoneticPr fontId="1" type="noConversion"/>
  </si>
  <si>
    <t>111-4492280-0597813</t>
  </si>
  <si>
    <t>Jun17 Del</t>
    <phoneticPr fontId="1" type="noConversion"/>
  </si>
  <si>
    <t>In Country</t>
    <phoneticPr fontId="1" type="noConversion"/>
  </si>
  <si>
    <r>
      <t xml:space="preserve">dereedshi_0 ---------------- </t>
    </r>
    <r>
      <rPr>
        <sz val="10"/>
        <color rgb="FFFF0000"/>
        <rFont val="Arial Unicode MS"/>
        <family val="2"/>
        <charset val="136"/>
      </rPr>
      <t>Return</t>
    </r>
    <phoneticPr fontId="1" type="noConversion"/>
  </si>
  <si>
    <t>Item not suitable</t>
    <phoneticPr fontId="1" type="noConversion"/>
  </si>
  <si>
    <t>dodgepower426</t>
  </si>
  <si>
    <t>Alison Hartley</t>
  </si>
  <si>
    <t>d_force01@yahoo.com</t>
  </si>
  <si>
    <t>+1 606-541-3051</t>
  </si>
  <si>
    <t>394011129229</t>
    <phoneticPr fontId="1" type="noConversion"/>
  </si>
  <si>
    <t>394011129549</t>
    <phoneticPr fontId="1" type="noConversion"/>
  </si>
  <si>
    <t>394011128303</t>
    <phoneticPr fontId="1" type="noConversion"/>
  </si>
  <si>
    <t>Ask for shipping -- OK sch Jun18-26</t>
    <phoneticPr fontId="1" type="noConversion"/>
  </si>
  <si>
    <t>Ord Jun02</t>
    <phoneticPr fontId="1" type="noConversion"/>
  </si>
  <si>
    <t>9361289680090887614193</t>
    <phoneticPr fontId="1" type="noConversion"/>
  </si>
  <si>
    <t>Jun26-Jul06</t>
    <phoneticPr fontId="1" type="noConversion"/>
  </si>
  <si>
    <t>Dispute Jun19</t>
    <phoneticPr fontId="1" type="noConversion"/>
  </si>
  <si>
    <t>111-2409786-6463453</t>
  </si>
  <si>
    <t>Hour Loop</t>
  </si>
  <si>
    <t>jrtan_bcd@yahoo.com</t>
  </si>
  <si>
    <t>+1 609-289-3025</t>
  </si>
  <si>
    <t>111-8992222-1293008</t>
  </si>
  <si>
    <t>Intex Skimmer Hose Adaptor</t>
    <phoneticPr fontId="1" type="noConversion"/>
  </si>
  <si>
    <t>thepricepopper</t>
  </si>
  <si>
    <t>jd used tire</t>
  </si>
  <si>
    <t>hspaffordo@gmail.com</t>
  </si>
  <si>
    <t>+1 419-566-5783</t>
  </si>
  <si>
    <t>111-5411670-4200208</t>
  </si>
  <si>
    <t>Jun28-29</t>
    <phoneticPr fontId="1" type="noConversion"/>
  </si>
  <si>
    <t>Intex Adaptor A</t>
    <phoneticPr fontId="1" type="noConversion"/>
  </si>
  <si>
    <t>peba-8783</t>
  </si>
  <si>
    <t>perry baker</t>
  </si>
  <si>
    <t>perrybaker8@gmail.com</t>
  </si>
  <si>
    <t>+1 252-939-6594</t>
  </si>
  <si>
    <t>travisdoubleclutchin</t>
  </si>
  <si>
    <t>Travis Smith</t>
  </si>
  <si>
    <t>tytanner30@gmail.com</t>
  </si>
  <si>
    <t>+1 251-200-2004</t>
  </si>
  <si>
    <t>111-1232201-4391460</t>
  </si>
  <si>
    <t>Jun26-27</t>
    <phoneticPr fontId="1" type="noConversion"/>
  </si>
  <si>
    <t>TBA066662428901</t>
  </si>
  <si>
    <t>Jun22-25</t>
    <phoneticPr fontId="1" type="noConversion"/>
  </si>
  <si>
    <t>9374889687090885497261</t>
    <phoneticPr fontId="1" type="noConversion"/>
  </si>
  <si>
    <t>Refuned Jun20</t>
    <phoneticPr fontId="1" type="noConversion"/>
  </si>
  <si>
    <t>Jun19 Del</t>
    <phoneticPr fontId="1" type="noConversion"/>
  </si>
  <si>
    <t>Jun18 Del</t>
    <phoneticPr fontId="1" type="noConversion"/>
  </si>
  <si>
    <t>skaterchick42082</t>
  </si>
  <si>
    <t>Bobbi Bone</t>
  </si>
  <si>
    <t>Smotpoker1@hotmail.com</t>
  </si>
  <si>
    <t>+1 217-898-3818</t>
  </si>
  <si>
    <t>Intext 10747</t>
    <phoneticPr fontId="1" type="noConversion"/>
  </si>
  <si>
    <t>funkk40@yahoo.com</t>
  </si>
  <si>
    <t>+1 541-860-8000</t>
  </si>
  <si>
    <t>funky40us</t>
  </si>
  <si>
    <t>Kim Funk</t>
  </si>
  <si>
    <t>jj_mcsueede_454</t>
  </si>
  <si>
    <t>Jeffrey Stahl</t>
  </si>
  <si>
    <t>mod.repair.shop@gmail.com</t>
  </si>
  <si>
    <t>+1 917-663-1001</t>
  </si>
  <si>
    <t>Jun22</t>
    <phoneticPr fontId="1" type="noConversion"/>
  </si>
  <si>
    <t>1Z6W75630329531081</t>
  </si>
  <si>
    <t>UPS</t>
    <phoneticPr fontId="1" type="noConversion"/>
  </si>
  <si>
    <t xml:space="preserve">111-4299674-6160226 </t>
  </si>
  <si>
    <t>Jun22-25</t>
    <phoneticPr fontId="1" type="noConversion"/>
  </si>
  <si>
    <t>Curtain - Louver Door</t>
    <phoneticPr fontId="1" type="noConversion"/>
  </si>
  <si>
    <t>ncov2772</t>
  </si>
  <si>
    <t>nicholascove@aol.com</t>
  </si>
  <si>
    <t>+1 201-681-8041</t>
  </si>
  <si>
    <t>Cancelled</t>
    <phoneticPr fontId="1" type="noConversion"/>
  </si>
  <si>
    <t>56 QT</t>
    <phoneticPr fontId="1" type="noConversion"/>
  </si>
  <si>
    <t>jerseymk143@gmail.com</t>
  </si>
  <si>
    <t>+1 609-364-1749</t>
  </si>
  <si>
    <t>number8dave_7</t>
  </si>
  <si>
    <t>Rodger Gilliam</t>
  </si>
  <si>
    <t>number8dave@gmail.com</t>
  </si>
  <si>
    <t>+1 931-310-3861</t>
  </si>
  <si>
    <t>danieschwidersk-0</t>
  </si>
  <si>
    <t>Daniel Schwiderski</t>
  </si>
  <si>
    <t>d.schwiderski95@gmail.com</t>
  </si>
  <si>
    <t>+1 415-994-4464</t>
  </si>
  <si>
    <t>111-0351056-1821038</t>
  </si>
  <si>
    <t>Amazon</t>
    <phoneticPr fontId="1" type="noConversion"/>
  </si>
  <si>
    <t>111-1568133-8403417</t>
  </si>
  <si>
    <t>Jun26</t>
    <phoneticPr fontId="1" type="noConversion"/>
  </si>
  <si>
    <t>111-1599439-6960248</t>
  </si>
  <si>
    <t xml:space="preserve">111-1413677-2662660 </t>
  </si>
  <si>
    <t>394059997300</t>
    <phoneticPr fontId="1" type="noConversion"/>
  </si>
  <si>
    <t>Fedex</t>
    <phoneticPr fontId="1" type="noConversion"/>
  </si>
  <si>
    <t>Intex Skimmer</t>
    <phoneticPr fontId="1" type="noConversion"/>
  </si>
  <si>
    <t>Scott Parkes</t>
  </si>
  <si>
    <t>parkes123@gmail.com</t>
  </si>
  <si>
    <t>+1 760-285-0456</t>
  </si>
  <si>
    <t>Curtain - Stairway</t>
    <phoneticPr fontId="1" type="noConversion"/>
  </si>
  <si>
    <t>Raymund Tan</t>
    <phoneticPr fontId="1" type="noConversion"/>
  </si>
  <si>
    <t>TBA067742152901</t>
  </si>
  <si>
    <t>AL</t>
    <phoneticPr fontId="1" type="noConversion"/>
  </si>
  <si>
    <t>Curtain - Square Ring</t>
    <phoneticPr fontId="1" type="noConversion"/>
  </si>
  <si>
    <t>Intex 10127 Stopper</t>
    <phoneticPr fontId="1" type="noConversion"/>
  </si>
  <si>
    <r>
      <t xml:space="preserve">scpar_19 ----- </t>
    </r>
    <r>
      <rPr>
        <sz val="10"/>
        <color rgb="FFFF0000"/>
        <rFont val="Arial Unicode MS"/>
        <family val="2"/>
        <charset val="136"/>
      </rPr>
      <t>Cancelled</t>
    </r>
    <phoneticPr fontId="1" type="noConversion"/>
  </si>
  <si>
    <t>9261290224054405034615</t>
    <phoneticPr fontId="1" type="noConversion"/>
  </si>
  <si>
    <t>TBA067938209501</t>
    <phoneticPr fontId="1" type="noConversion"/>
  </si>
  <si>
    <t>Wait for Green in Mid-Jul</t>
    <phoneticPr fontId="1" type="noConversion"/>
  </si>
  <si>
    <t>krystinturne0</t>
  </si>
  <si>
    <t>Krystina Turner</t>
  </si>
  <si>
    <t>zeetex</t>
  </si>
  <si>
    <t>Mark Teixeira</t>
  </si>
  <si>
    <t>mark.teixeira.mail@gmail.com</t>
  </si>
  <si>
    <t>+1 646-673-4669</t>
  </si>
  <si>
    <t>chrys.valma</t>
  </si>
  <si>
    <t>Chrystian Almanza</t>
  </si>
  <si>
    <t>krysforever15@hotmail.com</t>
  </si>
  <si>
    <t>+1 575-390-7066</t>
  </si>
  <si>
    <t>devin1214</t>
  </si>
  <si>
    <t>Tara Brammer</t>
  </si>
  <si>
    <t>tara_1816@msn.com</t>
  </si>
  <si>
    <t>+1 304-520-5696</t>
  </si>
  <si>
    <t>Stopper</t>
    <phoneticPr fontId="1" type="noConversion"/>
  </si>
  <si>
    <t>bookbuyguru</t>
  </si>
  <si>
    <t>Jessica Hernandez</t>
  </si>
  <si>
    <t>half.buy.bookbuyguru@ergoder.com</t>
  </si>
  <si>
    <t>+1 281-456-3664</t>
  </si>
  <si>
    <t>Jul02</t>
    <phoneticPr fontId="1" type="noConversion"/>
  </si>
  <si>
    <t>111-6157100-1153053</t>
  </si>
  <si>
    <t>goodiemeister</t>
  </si>
  <si>
    <t>Richard Santo</t>
  </si>
  <si>
    <t>rjsanto@comcast.net</t>
  </si>
  <si>
    <t>+1 781-526-8932</t>
  </si>
  <si>
    <t>antiejulie</t>
  </si>
  <si>
    <t>Julia Benson</t>
  </si>
  <si>
    <t>juliaabenson@gmail.com</t>
  </si>
  <si>
    <t>+1 360-540-6888</t>
  </si>
  <si>
    <t>4558 Adapter</t>
    <phoneticPr fontId="1" type="noConversion"/>
  </si>
  <si>
    <t>US Weight 20 lb</t>
    <phoneticPr fontId="1" type="noConversion"/>
  </si>
  <si>
    <t>abicha-32</t>
  </si>
  <si>
    <t>abigail chafin</t>
  </si>
  <si>
    <t>chafinabigail@gmail.com</t>
  </si>
  <si>
    <t>+1 440-668-1759</t>
  </si>
  <si>
    <t>9374889698090402879828</t>
    <phoneticPr fontId="1" type="noConversion"/>
  </si>
  <si>
    <t>USPS</t>
    <phoneticPr fontId="1" type="noConversion"/>
  </si>
  <si>
    <t>SeasonWide</t>
  </si>
  <si>
    <t>9374889695090588280985</t>
    <phoneticPr fontId="1" type="noConversion"/>
  </si>
  <si>
    <t>1Z805TT10306787086</t>
    <phoneticPr fontId="1" type="noConversion"/>
  </si>
  <si>
    <t>To be Return</t>
    <phoneticPr fontId="1" type="noConversion"/>
  </si>
  <si>
    <t>johdo_2869</t>
  </si>
  <si>
    <t>Johnny Dones</t>
  </si>
  <si>
    <t>donesjohnny25@gmail.com</t>
  </si>
  <si>
    <t>+1 787-718-4017</t>
  </si>
  <si>
    <t>111-2152027-4263459</t>
  </si>
  <si>
    <t>111-5431428-3017850</t>
  </si>
  <si>
    <t>Jul01-06</t>
    <phoneticPr fontId="1" type="noConversion"/>
  </si>
  <si>
    <t>111-7575527-8894657</t>
  </si>
  <si>
    <t>111-8270256-0801832</t>
  </si>
  <si>
    <t>111-7220991-0397830</t>
  </si>
  <si>
    <t>Jun23</t>
    <phoneticPr fontId="1" type="noConversion"/>
  </si>
  <si>
    <t xml:space="preserve"> </t>
    <phoneticPr fontId="1" type="noConversion"/>
  </si>
  <si>
    <t>wende.flana</t>
  </si>
  <si>
    <t>Wendell flanagan</t>
  </si>
  <si>
    <t>pappyflanagan.wf@gmail.com</t>
  </si>
  <si>
    <t>+1 903-539-0747</t>
  </si>
  <si>
    <t>cdbernard@att.net</t>
  </si>
  <si>
    <t>+1 810-287-4414</t>
  </si>
  <si>
    <t>Diana Bernard</t>
  </si>
  <si>
    <t>emlb45</t>
  </si>
  <si>
    <t>Mitchener L Beasley</t>
  </si>
  <si>
    <t>magicmusic21@gmail.com</t>
  </si>
  <si>
    <t>+1 919-358-1340</t>
  </si>
  <si>
    <t>rhodewarriorlm</t>
  </si>
  <si>
    <t>Larry Modder</t>
  </si>
  <si>
    <t>larry.modder@cognizant.com</t>
  </si>
  <si>
    <t>+1 201-679-5178</t>
  </si>
  <si>
    <t>TBA069351575001</t>
  </si>
  <si>
    <t>394100888277</t>
    <phoneticPr fontId="1" type="noConversion"/>
  </si>
  <si>
    <t>394100885760</t>
    <phoneticPr fontId="1" type="noConversion"/>
  </si>
  <si>
    <t>394100887395</t>
    <phoneticPr fontId="1" type="noConversion"/>
  </si>
  <si>
    <t>1Z973Y6FYN81412106</t>
    <phoneticPr fontId="1" type="noConversion"/>
  </si>
  <si>
    <t>UPS SurePost</t>
    <phoneticPr fontId="1" type="noConversion"/>
  </si>
  <si>
    <t>1Z9R82E00274668162</t>
  </si>
  <si>
    <t xml:space="preserve">UPS </t>
    <phoneticPr fontId="1" type="noConversion"/>
  </si>
  <si>
    <t>111-0388036-0685847</t>
  </si>
  <si>
    <t>SKL</t>
    <phoneticPr fontId="1" type="noConversion"/>
  </si>
  <si>
    <t>111-3321305-1370659</t>
  </si>
  <si>
    <t>Jun28-30</t>
    <phoneticPr fontId="1" type="noConversion"/>
  </si>
  <si>
    <t>QBQS</t>
    <phoneticPr fontId="1" type="noConversion"/>
  </si>
  <si>
    <t>111-4754843-6597055</t>
  </si>
  <si>
    <t>Jun25-29</t>
    <phoneticPr fontId="1" type="noConversion"/>
  </si>
  <si>
    <t>RC Jun22 Del</t>
    <phoneticPr fontId="1" type="noConversion"/>
  </si>
  <si>
    <t>vickypdl@yahoo.com</t>
  </si>
  <si>
    <t>+1 850-258-8629</t>
  </si>
  <si>
    <t>Vicky Thomas</t>
  </si>
  <si>
    <t>Intex 10127 Stopper</t>
    <phoneticPr fontId="1" type="noConversion"/>
  </si>
  <si>
    <t>jdyess12@gmail.com</t>
  </si>
  <si>
    <t>+1 912-339-8513</t>
  </si>
  <si>
    <t>jesdy-59</t>
  </si>
  <si>
    <t>Jessica Dyess</t>
  </si>
  <si>
    <t>mommad_38</t>
  </si>
  <si>
    <t>Stephanie Duncan</t>
  </si>
  <si>
    <t>mommadunk_32@yahoo.com</t>
  </si>
  <si>
    <t>+1 731-335-2392</t>
  </si>
  <si>
    <t>samapie-86</t>
  </si>
  <si>
    <t>samantha pierce</t>
  </si>
  <si>
    <t>samanthapierce8211@gmail.com</t>
  </si>
  <si>
    <t>+1 804-704-7996</t>
  </si>
  <si>
    <t>111-1956448-4621049</t>
  </si>
  <si>
    <t>Jun25</t>
    <phoneticPr fontId="1" type="noConversion"/>
  </si>
  <si>
    <t>VM</t>
    <phoneticPr fontId="1" type="noConversion"/>
  </si>
  <si>
    <t>9361289679090725381519</t>
    <phoneticPr fontId="1" type="noConversion"/>
  </si>
  <si>
    <t>USPS</t>
    <phoneticPr fontId="1" type="noConversion"/>
  </si>
  <si>
    <t>Attempt to cancel --- need Return</t>
    <phoneticPr fontId="1" type="noConversion"/>
  </si>
  <si>
    <t>jrt07 --------- to be Cancell</t>
    <phoneticPr fontId="1" type="noConversion"/>
  </si>
  <si>
    <t>111-7450323-2557805</t>
  </si>
  <si>
    <t>111-7008082-4761061</t>
  </si>
  <si>
    <t>Jun29</t>
    <phoneticPr fontId="1" type="noConversion"/>
  </si>
  <si>
    <t>Jun19 Del</t>
    <phoneticPr fontId="1" type="noConversion"/>
  </si>
  <si>
    <t>Jun23 Del</t>
    <phoneticPr fontId="1" type="noConversion"/>
  </si>
  <si>
    <t>Jun22-23 Del</t>
    <phoneticPr fontId="1" type="noConversion"/>
  </si>
  <si>
    <t>9374889690090822275468</t>
    <phoneticPr fontId="1" type="noConversion"/>
  </si>
  <si>
    <t>394153230691</t>
    <phoneticPr fontId="1" type="noConversion"/>
  </si>
  <si>
    <t>Fedex</t>
    <phoneticPr fontId="1" type="noConversion"/>
  </si>
  <si>
    <t>UPS</t>
    <phoneticPr fontId="1" type="noConversion"/>
  </si>
  <si>
    <t>1Z5937E30345527637</t>
  </si>
  <si>
    <t>1Z5937E30345527628</t>
  </si>
  <si>
    <t>mrandmrsmichaelandvalerie@gmail.com</t>
  </si>
  <si>
    <t>+1 231-903-9891</t>
  </si>
  <si>
    <t>micpe-4756</t>
  </si>
  <si>
    <t>Michael Pence</t>
  </si>
  <si>
    <t>111-1177133-0745023</t>
  </si>
  <si>
    <t>Jun27</t>
    <phoneticPr fontId="1" type="noConversion"/>
  </si>
  <si>
    <t>mishkyn@yahoo.com</t>
  </si>
  <si>
    <t>+1 951-366-0430</t>
  </si>
  <si>
    <t>mishkyn1</t>
  </si>
  <si>
    <t>Frances Richardson</t>
  </si>
  <si>
    <t>fatwallet</t>
  </si>
  <si>
    <t>Leo J.Nosal</t>
  </si>
  <si>
    <t>lnosal1@nycap.rr.com</t>
  </si>
  <si>
    <t>+1 518-312-0750</t>
  </si>
  <si>
    <t>dustyrhodes972</t>
  </si>
  <si>
    <t>Scott Rhodes</t>
  </si>
  <si>
    <t>111-4991981-5191445</t>
  </si>
  <si>
    <t>Jul06-08</t>
    <phoneticPr fontId="1" type="noConversion"/>
  </si>
  <si>
    <t>394160533598</t>
    <phoneticPr fontId="1" type="noConversion"/>
  </si>
  <si>
    <t>hopkus.i1hh8</t>
  </si>
  <si>
    <t>Lisa Hopkins</t>
  </si>
  <si>
    <t>Intex Basic Cleaning Kit</t>
    <phoneticPr fontId="1" type="noConversion"/>
  </si>
  <si>
    <t>chompers78@gmail.com</t>
  </si>
  <si>
    <t>+1 405-476-7135</t>
  </si>
  <si>
    <t>US Weight 40 lb</t>
    <phoneticPr fontId="1" type="noConversion"/>
  </si>
  <si>
    <t>dustyrhodes@grandecom.net</t>
  </si>
  <si>
    <t>+1 972-877-3425</t>
  </si>
  <si>
    <t>luz algarin</t>
  </si>
  <si>
    <t>andatinia@gmail.com</t>
  </si>
  <si>
    <t>+1 787-391-3330</t>
  </si>
  <si>
    <t>thomen_6062</t>
  </si>
  <si>
    <t>THOMAS MENDEZ</t>
  </si>
  <si>
    <t>tranger6@aol.com</t>
  </si>
  <si>
    <t>+1 347-219-4905</t>
  </si>
  <si>
    <t>Ivan A. Fraticelli</t>
  </si>
  <si>
    <t>geevanfrati@cs.com</t>
  </si>
  <si>
    <t>+1 787-397-4569</t>
  </si>
  <si>
    <t>SO17425616</t>
  </si>
  <si>
    <t>111-5394323-6193858</t>
  </si>
  <si>
    <t>SeasonWide</t>
    <phoneticPr fontId="1" type="noConversion"/>
  </si>
  <si>
    <t>Jul01</t>
    <phoneticPr fontId="1" type="noConversion"/>
  </si>
  <si>
    <t>SO17425949</t>
  </si>
  <si>
    <t>120871</t>
    <phoneticPr fontId="1" type="noConversion"/>
  </si>
  <si>
    <t>WildWestPoolSupplies</t>
    <phoneticPr fontId="1" type="noConversion"/>
  </si>
  <si>
    <t>1105866</t>
    <phoneticPr fontId="1" type="noConversion"/>
  </si>
  <si>
    <t>InyoPools</t>
    <phoneticPr fontId="1" type="noConversion"/>
  </si>
  <si>
    <t>394194215901</t>
    <phoneticPr fontId="1" type="noConversion"/>
  </si>
  <si>
    <t>Jun28</t>
    <phoneticPr fontId="1" type="noConversion"/>
  </si>
  <si>
    <t>1Z8146WY0308752463</t>
    <phoneticPr fontId="1" type="noConversion"/>
  </si>
  <si>
    <t>luzalga ------------------------ PR</t>
    <phoneticPr fontId="1" type="noConversion"/>
  </si>
  <si>
    <t>111-7057953-0933026</t>
  </si>
  <si>
    <t xml:space="preserve">111-5239899-1706633 </t>
  </si>
  <si>
    <t>Jul07-17</t>
    <phoneticPr fontId="1" type="noConversion"/>
  </si>
  <si>
    <t>Curtain - Square Ring</t>
    <phoneticPr fontId="1" type="noConversion"/>
  </si>
  <si>
    <t>AbeadedC Sqaure</t>
    <phoneticPr fontId="1" type="noConversion"/>
  </si>
  <si>
    <t>AbeadedC Stairway</t>
    <phoneticPr fontId="1" type="noConversion"/>
  </si>
  <si>
    <t>AbeadedC Louver</t>
    <phoneticPr fontId="1" type="noConversion"/>
  </si>
  <si>
    <t>Curtain - Bamboo Door</t>
    <phoneticPr fontId="1" type="noConversion"/>
  </si>
  <si>
    <t>AbeadedC Bamboo</t>
    <phoneticPr fontId="1" type="noConversion"/>
  </si>
  <si>
    <t>AdeadedC Square</t>
    <phoneticPr fontId="1" type="noConversion"/>
  </si>
  <si>
    <t>jasoschnitke-0</t>
  </si>
  <si>
    <t>lynnprimm</t>
  </si>
  <si>
    <t>Jason Schnitker</t>
  </si>
  <si>
    <t>clownrocket@gmail.com</t>
  </si>
  <si>
    <t>+1 513-404-8682</t>
  </si>
  <si>
    <t>Joan L Primm</t>
  </si>
  <si>
    <t>lynprim@hotmail.com</t>
  </si>
  <si>
    <t>+1 908-534-4253</t>
  </si>
  <si>
    <t>111-5384729-4177811</t>
  </si>
  <si>
    <t>Jul07-09</t>
    <phoneticPr fontId="1" type="noConversion"/>
  </si>
  <si>
    <t>111-5546807-5015433</t>
  </si>
  <si>
    <t>cryrag2</t>
  </si>
  <si>
    <t>Crystal Ragain</t>
  </si>
  <si>
    <t>crystalstarleneragain@gmail.com</t>
  </si>
  <si>
    <t>+1 830-220-4794</t>
  </si>
  <si>
    <t>Marcos Torres</t>
  </si>
  <si>
    <t>matquijote@hotmail.com</t>
  </si>
  <si>
    <t>+1 787-316-3729</t>
  </si>
  <si>
    <t>matqu-24 -------------------- PR</t>
    <phoneticPr fontId="1" type="noConversion"/>
  </si>
  <si>
    <t>1Z82V5490268865888</t>
    <phoneticPr fontId="1" type="noConversion"/>
  </si>
  <si>
    <t>1Z82V5490268805700</t>
    <phoneticPr fontId="1" type="noConversion"/>
  </si>
  <si>
    <t>1Z82V5490268866109</t>
  </si>
  <si>
    <t>111-5829633-0190613</t>
  </si>
  <si>
    <t>Jul10-17</t>
    <phoneticPr fontId="1" type="noConversion"/>
  </si>
  <si>
    <t>grandepoppi13</t>
  </si>
  <si>
    <t>RODNEY SMITH</t>
  </si>
  <si>
    <t>smithrodrob@yahoo.com</t>
  </si>
  <si>
    <t>+1 980-621-1818</t>
  </si>
  <si>
    <t>mcglo-tabat</t>
  </si>
  <si>
    <t>Tabatha McGlone</t>
  </si>
  <si>
    <t>tabathamcglone@gmail.com</t>
  </si>
  <si>
    <t>+1 419-961-3615</t>
  </si>
  <si>
    <t>Adapter A</t>
    <phoneticPr fontId="1" type="noConversion"/>
  </si>
  <si>
    <t>miniicky</t>
  </si>
  <si>
    <t>Monii Nguyen</t>
  </si>
  <si>
    <t>montape126@gmail.com</t>
  </si>
  <si>
    <t>+1 678-557-8475</t>
  </si>
  <si>
    <t>111-2839320-5932269</t>
  </si>
  <si>
    <t>Jun28-29</t>
    <phoneticPr fontId="1" type="noConversion"/>
  </si>
  <si>
    <t>111-4663235-7987407</t>
  </si>
  <si>
    <t>9274890984085810471796</t>
    <phoneticPr fontId="1" type="noConversion"/>
  </si>
  <si>
    <t>1Z6YY7520391484511</t>
  </si>
  <si>
    <t>Jun30</t>
    <phoneticPr fontId="1" type="noConversion"/>
  </si>
  <si>
    <t>rc4fun2011</t>
  </si>
  <si>
    <t>jeffrey haen</t>
  </si>
  <si>
    <t>jedi911jh@yahoo.com</t>
  </si>
  <si>
    <t>+1 920-912-4775</t>
  </si>
  <si>
    <t>Intex SK Adapter</t>
    <phoneticPr fontId="1" type="noConversion"/>
  </si>
  <si>
    <t>juib.us.ucsffjb</t>
  </si>
  <si>
    <t>Julio Ibarra</t>
  </si>
  <si>
    <t>legalcoor1@gmail.com</t>
  </si>
  <si>
    <t>+1 832-407-0089</t>
  </si>
  <si>
    <t>superrosados69</t>
  </si>
  <si>
    <t>Mr. Hector Rosado Jr. &amp; Mrs. Tricia Rosado</t>
  </si>
  <si>
    <t>trishalton@gmail.com</t>
  </si>
  <si>
    <t>+1 443-827-2725</t>
  </si>
  <si>
    <t>lauraaldridge1984</t>
  </si>
  <si>
    <t>laura aldridge</t>
  </si>
  <si>
    <t>seal5771@gmail.com</t>
  </si>
  <si>
    <t>+1 859-644-2680</t>
  </si>
  <si>
    <t>vinchenzo1904_5</t>
  </si>
  <si>
    <t>vincent mcinerney</t>
  </si>
  <si>
    <t>vinchenzo1904@gmail.com</t>
  </si>
  <si>
    <t>+1 619-530-1913</t>
  </si>
  <si>
    <t>111-3511012-3372253</t>
  </si>
  <si>
    <t>Plano Tote 56 QT -- Black</t>
    <phoneticPr fontId="1" type="noConversion"/>
  </si>
  <si>
    <t>sharpee1</t>
  </si>
  <si>
    <t>Eric Sharp</t>
  </si>
  <si>
    <t>enrsharp@gmail.com</t>
  </si>
  <si>
    <t>+1 260-585-7889</t>
  </si>
  <si>
    <t>dixie7659</t>
  </si>
  <si>
    <t>Carla Flurry</t>
  </si>
  <si>
    <t>gumbo1@bellsouth.net</t>
  </si>
  <si>
    <t>+1 225-247-1767</t>
  </si>
  <si>
    <t>TBA073128287301</t>
  </si>
  <si>
    <t>AL</t>
    <phoneticPr fontId="1" type="noConversion"/>
  </si>
  <si>
    <t>TRUE Cork Holder - Barrel</t>
    <phoneticPr fontId="1" type="noConversion"/>
  </si>
  <si>
    <t>salatadecartofi@gmail.com</t>
  </si>
  <si>
    <t>+1 586-675-9571</t>
  </si>
  <si>
    <t>mihaibordea</t>
  </si>
  <si>
    <t>Mihai Bordea</t>
  </si>
  <si>
    <t>Brenda L Marcano</t>
  </si>
  <si>
    <t>karlosj088@gmail.com</t>
  </si>
  <si>
    <t>+1 787-513-0087</t>
  </si>
  <si>
    <t>gelpi-pr --------------------- PR</t>
    <phoneticPr fontId="1" type="noConversion"/>
  </si>
  <si>
    <t>snow200214  -------- PR Cancel</t>
    <phoneticPr fontId="1" type="noConversion"/>
  </si>
  <si>
    <t>111-6872579-8889039</t>
  </si>
  <si>
    <t>Jul08-10</t>
    <phoneticPr fontId="1" type="noConversion"/>
  </si>
  <si>
    <t>vic_tvi_wnx0u9s1dl ------- Can</t>
    <phoneticPr fontId="1" type="noConversion"/>
  </si>
  <si>
    <t>111-0384438-1561043</t>
  </si>
  <si>
    <t>9405511899223261351327</t>
    <phoneticPr fontId="1" type="noConversion"/>
  </si>
  <si>
    <t>9374889689090464632685</t>
    <phoneticPr fontId="1" type="noConversion"/>
  </si>
  <si>
    <t>krystina_81@yahoo.com</t>
  </si>
  <si>
    <t>+1 913-766-7544</t>
  </si>
  <si>
    <t>111-4724983-8900209</t>
  </si>
  <si>
    <t>TAC - Color Wave</t>
    <phoneticPr fontId="1" type="noConversion"/>
  </si>
  <si>
    <t>TAC Curtain - Color Wave</t>
    <phoneticPr fontId="1" type="noConversion"/>
  </si>
  <si>
    <t>raye7414</t>
  </si>
  <si>
    <t>RONALD AYERS</t>
  </si>
  <si>
    <t>ron2hunt@hotmail.com</t>
  </si>
  <si>
    <t>+1 570-665-0164</t>
  </si>
  <si>
    <t>goinpostal71</t>
  </si>
  <si>
    <t>Brian Carruth</t>
  </si>
  <si>
    <t>carruth.brian@gmail.com</t>
  </si>
  <si>
    <t>+1 317-529-1264</t>
  </si>
  <si>
    <t>Adapter B</t>
    <phoneticPr fontId="1" type="noConversion"/>
  </si>
  <si>
    <t>Reza Djali</t>
  </si>
  <si>
    <t>cheshman@hotmail.com</t>
  </si>
  <si>
    <t>+1 704-249-0022</t>
  </si>
  <si>
    <t>gdfelas</t>
  </si>
  <si>
    <t>sawi_7704</t>
  </si>
  <si>
    <t>Sarah Witte</t>
  </si>
  <si>
    <t>switte@eou.edu</t>
  </si>
  <si>
    <t>+1 541-963-4003</t>
  </si>
  <si>
    <t>MICHELE GRIECO</t>
  </si>
  <si>
    <t>fancyshoes36@gmail.com</t>
  </si>
  <si>
    <t>+1 732-713-5643</t>
  </si>
  <si>
    <t>lilpena-95</t>
  </si>
  <si>
    <t>Lillian PenaBrown</t>
  </si>
  <si>
    <t>lill3.lpb@gmail.com</t>
  </si>
  <si>
    <t>+1 914-879-8087</t>
  </si>
  <si>
    <t>neonpaintbrush</t>
  </si>
  <si>
    <t>Tanner Thalman</t>
  </si>
  <si>
    <t>t-man9999@live.com</t>
  </si>
  <si>
    <t>+1 801-420-2012</t>
  </si>
  <si>
    <t>Jun27 Del</t>
    <phoneticPr fontId="1" type="noConversion"/>
  </si>
  <si>
    <t>TBA074192230601</t>
  </si>
  <si>
    <t>TBA073823970701</t>
  </si>
  <si>
    <t>9361289688090988009951</t>
    <phoneticPr fontId="1" type="noConversion"/>
  </si>
  <si>
    <t>386367</t>
    <phoneticPr fontId="1" type="noConversion"/>
  </si>
  <si>
    <t>Pools n Spa 4558</t>
    <phoneticPr fontId="1" type="noConversion"/>
  </si>
  <si>
    <t>386368</t>
    <phoneticPr fontId="1" type="noConversion"/>
  </si>
  <si>
    <t>raul beltran</t>
  </si>
  <si>
    <t>rbeltrannegron@gmail.com</t>
  </si>
  <si>
    <t>+1 787-619-4868</t>
  </si>
  <si>
    <t>nietsjltrm1@hotmail.com</t>
  </si>
  <si>
    <t>+1 231-557-1747</t>
  </si>
  <si>
    <t>nietsjltrm</t>
  </si>
  <si>
    <t>James Stein</t>
  </si>
  <si>
    <t xml:space="preserve"> </t>
    <phoneticPr fontId="1" type="noConversion"/>
  </si>
  <si>
    <t>bosco89</t>
  </si>
  <si>
    <t>Joshua Labosky</t>
  </si>
  <si>
    <t>joshlabosky@bellsouth.net</t>
  </si>
  <si>
    <t>+1 678-625-8431</t>
  </si>
  <si>
    <t>ssmith13</t>
  </si>
  <si>
    <t>Robert Townsend</t>
  </si>
  <si>
    <t>Johana Gonzalez</t>
    <phoneticPr fontId="1" type="noConversion"/>
  </si>
  <si>
    <t>111-9149267-1027441</t>
  </si>
  <si>
    <t>Jul08</t>
    <phoneticPr fontId="1" type="noConversion"/>
  </si>
  <si>
    <t>AZ Cleaning Kit</t>
    <phoneticPr fontId="1" type="noConversion"/>
  </si>
  <si>
    <t>111-8881992-0772209</t>
  </si>
  <si>
    <t>Jul10-21</t>
    <phoneticPr fontId="1" type="noConversion"/>
  </si>
  <si>
    <t>111-3969357-8520206</t>
  </si>
  <si>
    <t>Jun10-21</t>
    <phoneticPr fontId="1" type="noConversion"/>
  </si>
  <si>
    <t>Intex Hose n Adapter</t>
    <phoneticPr fontId="1" type="noConversion"/>
  </si>
  <si>
    <t>janetplanet18</t>
  </si>
  <si>
    <t>janet barry</t>
  </si>
  <si>
    <t>racerrn1@optimum.net</t>
  </si>
  <si>
    <t>+1 631-587-5741</t>
  </si>
  <si>
    <t>9374889698090405143513</t>
    <phoneticPr fontId="1" type="noConversion"/>
  </si>
  <si>
    <t>USPS</t>
    <phoneticPr fontId="1" type="noConversion"/>
  </si>
  <si>
    <t>Jun28 Del</t>
    <phoneticPr fontId="1" type="noConversion"/>
  </si>
  <si>
    <t>386380</t>
    <phoneticPr fontId="1" type="noConversion"/>
  </si>
  <si>
    <t>Zoro 40 lb</t>
    <phoneticPr fontId="1" type="noConversion"/>
  </si>
  <si>
    <t>SO17479131</t>
  </si>
  <si>
    <t>386383</t>
    <phoneticPr fontId="1" type="noConversion"/>
  </si>
  <si>
    <t>gabeink11</t>
  </si>
  <si>
    <t>Gabe Hernandez</t>
  </si>
  <si>
    <t>gabeinkh11@yahoo.com</t>
  </si>
  <si>
    <t>+1 915-255-6992</t>
  </si>
  <si>
    <t>ballest22</t>
  </si>
  <si>
    <t>Eugenio Ballesteros Palacios</t>
  </si>
  <si>
    <t>ballesteros0664@gmail.com</t>
  </si>
  <si>
    <t>+1 347-341-0489</t>
  </si>
  <si>
    <t>06-05307-97358</t>
    <phoneticPr fontId="1" type="noConversion"/>
  </si>
  <si>
    <t>blackrocksales</t>
  </si>
  <si>
    <t xml:space="preserve">111-9550299-6333066 </t>
  </si>
  <si>
    <t>Jun09-13</t>
    <phoneticPr fontId="1" type="noConversion"/>
  </si>
  <si>
    <t>111-3833914-2894651</t>
  </si>
  <si>
    <t>Jul09-13</t>
    <phoneticPr fontId="1" type="noConversion"/>
  </si>
  <si>
    <t>Jun19 Del</t>
    <phoneticPr fontId="1" type="noConversion"/>
  </si>
  <si>
    <t>Curtain - Tree</t>
    <phoneticPr fontId="1" type="noConversion"/>
  </si>
  <si>
    <t>394328517870</t>
    <phoneticPr fontId="1" type="noConversion"/>
  </si>
  <si>
    <t>9405511899223282788041</t>
    <phoneticPr fontId="1" type="noConversion"/>
  </si>
  <si>
    <t>9205590213422332784641</t>
    <phoneticPr fontId="1" type="noConversion"/>
  </si>
  <si>
    <t>Jun29 Del</t>
    <phoneticPr fontId="1" type="noConversion"/>
  </si>
  <si>
    <t>9405511899223289480757</t>
    <phoneticPr fontId="1" type="noConversion"/>
  </si>
  <si>
    <t>9405511899223289488944</t>
    <phoneticPr fontId="1" type="noConversion"/>
  </si>
  <si>
    <t>lder8715</t>
  </si>
  <si>
    <t>lilian deras</t>
  </si>
  <si>
    <t>lilianderas@yahoo.com</t>
  </si>
  <si>
    <t>+1 678-471-1197</t>
  </si>
  <si>
    <t>mhar_us_jccs1eyn</t>
  </si>
  <si>
    <t>Maxine Rasberry</t>
  </si>
  <si>
    <t>harleygrannie.67@gmail.com</t>
  </si>
  <si>
    <t>+1 231-286-6481</t>
  </si>
  <si>
    <t>Need ASAP</t>
    <phoneticPr fontId="1" type="noConversion"/>
  </si>
  <si>
    <t>Edgar Gonzalez</t>
  </si>
  <si>
    <t>edgargonzalez915@hotmail.com</t>
  </si>
  <si>
    <t>+1 915-345-7424</t>
  </si>
  <si>
    <t>SO17495571</t>
  </si>
  <si>
    <t>chuclemieu_0</t>
  </si>
  <si>
    <t>chuck lemieux</t>
  </si>
  <si>
    <t>chucklmx@gmail.com</t>
  </si>
  <si>
    <t>+1 715-817-8535</t>
  </si>
  <si>
    <t>edgargonzalez915 ---------- Can</t>
    <phoneticPr fontId="1" type="noConversion"/>
  </si>
  <si>
    <t>meowmixxxx</t>
  </si>
  <si>
    <t>naomi1280@yahoo.com</t>
  </si>
  <si>
    <t>+1 718-938-7413</t>
  </si>
  <si>
    <t>111-5658362-9181825</t>
  </si>
  <si>
    <t>Jun08-13</t>
    <phoneticPr fontId="1" type="noConversion"/>
  </si>
  <si>
    <t>Keep buyer updated</t>
    <phoneticPr fontId="1" type="noConversion"/>
  </si>
  <si>
    <t>1ZF952400317930908</t>
    <phoneticPr fontId="1" type="noConversion"/>
  </si>
  <si>
    <t>UPS</t>
    <phoneticPr fontId="1" type="noConversion"/>
  </si>
  <si>
    <t>Jun26</t>
    <phoneticPr fontId="1" type="noConversion"/>
  </si>
  <si>
    <t>SO17499868</t>
  </si>
  <si>
    <t>Zoro 56 QT</t>
    <phoneticPr fontId="1" type="noConversion"/>
  </si>
  <si>
    <t>US Weight Fillable 20 lb</t>
    <phoneticPr fontId="1" type="noConversion"/>
  </si>
  <si>
    <t>Curtain - Palm Tree</t>
    <phoneticPr fontId="1" type="noConversion"/>
  </si>
  <si>
    <t>cadcorner16</t>
  </si>
  <si>
    <t>Dusty Cadwell</t>
  </si>
  <si>
    <t>cadcorner16@aol.com</t>
  </si>
  <si>
    <t>+1 317-695-3277</t>
  </si>
  <si>
    <t>US Fillable</t>
    <phoneticPr fontId="1" type="noConversion"/>
  </si>
  <si>
    <t>Jennie Borken</t>
    <phoneticPr fontId="1" type="noConversion"/>
  </si>
  <si>
    <t>Cancelled buyer</t>
    <phoneticPr fontId="1" type="noConversion"/>
  </si>
  <si>
    <t>David Calen Knauf</t>
  </si>
  <si>
    <t>Curtain - Natural Bamboo</t>
    <phoneticPr fontId="1" type="noConversion"/>
  </si>
  <si>
    <t>eastvandan ------ Cancel</t>
    <phoneticPr fontId="1" type="noConversion"/>
  </si>
  <si>
    <t>Adaptor A</t>
    <phoneticPr fontId="1" type="noConversion"/>
  </si>
  <si>
    <t>Intex SK Adaptor</t>
    <phoneticPr fontId="1" type="noConversion"/>
  </si>
  <si>
    <t>Cancelled</t>
    <phoneticPr fontId="1" type="noConversion"/>
  </si>
  <si>
    <t>fancys_16 ------ To cancel</t>
    <phoneticPr fontId="1" type="noConversion"/>
  </si>
  <si>
    <t>GAME 4558</t>
    <phoneticPr fontId="1" type="noConversion"/>
  </si>
  <si>
    <t>mle4c</t>
  </si>
  <si>
    <t>emily.janvey@gmail.com</t>
  </si>
  <si>
    <t>+1 646-519-1327</t>
  </si>
  <si>
    <t>oscaruciel.vallesprieto372012</t>
  </si>
  <si>
    <t>Oscar Valles</t>
  </si>
  <si>
    <t>oscaruciel.vallesprieto37@gmail.com</t>
  </si>
  <si>
    <t>+1 928-254-9254</t>
  </si>
  <si>
    <t>markop6</t>
  </si>
  <si>
    <t>Mark L Kopp</t>
  </si>
  <si>
    <t>mlkopp@cox.net</t>
  </si>
  <si>
    <t>+1 402-740-6939</t>
  </si>
  <si>
    <t>Jose A Munoz</t>
  </si>
  <si>
    <t>papa_joe7@hotmail.com</t>
  </si>
  <si>
    <t>+1 787-637-3238</t>
  </si>
  <si>
    <t>Adaptor B</t>
    <phoneticPr fontId="1" type="noConversion"/>
  </si>
  <si>
    <t>rebsch_7650</t>
  </si>
  <si>
    <t>Rebecca Schroll</t>
  </si>
  <si>
    <t>becca.schroll@gmail.com</t>
  </si>
  <si>
    <t>+1 336-602-6108</t>
  </si>
  <si>
    <t>ki_897835</t>
  </si>
  <si>
    <t>A Miles</t>
  </si>
  <si>
    <t>kingkaidenzo444@gmail.com</t>
  </si>
  <si>
    <t>+1 727-619-8854</t>
  </si>
  <si>
    <t>Guido Chan</t>
  </si>
  <si>
    <t xml:space="preserve">111-1870249-1864213 </t>
  </si>
  <si>
    <t>Jul13-15</t>
    <phoneticPr fontId="1" type="noConversion"/>
  </si>
  <si>
    <t>111-5315305-5460228</t>
  </si>
  <si>
    <t>Jul02</t>
    <phoneticPr fontId="1" type="noConversion"/>
  </si>
  <si>
    <t>SeasonWide Adapter A</t>
    <phoneticPr fontId="1" type="noConversion"/>
  </si>
  <si>
    <t>SO17521779</t>
  </si>
  <si>
    <t>1ZE24A620382566869</t>
  </si>
  <si>
    <t>UPS</t>
    <phoneticPr fontId="1" type="noConversion"/>
  </si>
  <si>
    <t>111-6562479-2322630</t>
  </si>
  <si>
    <t>Jul15-17</t>
    <phoneticPr fontId="1" type="noConversion"/>
  </si>
  <si>
    <t>111-1562036-6218638</t>
  </si>
  <si>
    <t>Jul17</t>
    <phoneticPr fontId="1" type="noConversion"/>
  </si>
  <si>
    <t>26-05320-35844</t>
  </si>
  <si>
    <t xml:space="preserve">blackrocksales </t>
  </si>
  <si>
    <t>TAC Curtain - Bird</t>
    <phoneticPr fontId="1" type="noConversion"/>
  </si>
  <si>
    <t>Miguel Berrios</t>
  </si>
  <si>
    <t>eitojr@gmail.com</t>
  </si>
  <si>
    <t>+1 401-497-9725</t>
  </si>
  <si>
    <t>roxsannejohnson@aol.com</t>
  </si>
  <si>
    <t>+1 231-830-7714</t>
  </si>
  <si>
    <t>Roxsanne Johnson</t>
  </si>
  <si>
    <t>Ship to Canada too expensive $40</t>
    <phoneticPr fontId="1" type="noConversion"/>
  </si>
  <si>
    <t>9374889714090544000705</t>
    <phoneticPr fontId="1" type="noConversion"/>
  </si>
  <si>
    <t>318busdriver236</t>
  </si>
  <si>
    <t>Paula Bolen</t>
  </si>
  <si>
    <t>whtbffl1@aol.com</t>
  </si>
  <si>
    <t>+1 318-518-5310</t>
  </si>
  <si>
    <t>randys62</t>
  </si>
  <si>
    <t>Randall Stephens</t>
  </si>
  <si>
    <t>randys13@icloud.com</t>
  </si>
  <si>
    <t>+1 608-921-8478</t>
  </si>
  <si>
    <t>Plano Tote 108 QT - Grey</t>
    <phoneticPr fontId="1" type="noConversion"/>
  </si>
  <si>
    <t>dcol9397</t>
  </si>
  <si>
    <t>Don Collier</t>
  </si>
  <si>
    <t>c-4@centurylink.net</t>
  </si>
  <si>
    <t>+1 928-301-1157</t>
  </si>
  <si>
    <t>108 QT</t>
    <phoneticPr fontId="1" type="noConversion"/>
  </si>
  <si>
    <t>Plano Tote 56 QT - Black</t>
    <phoneticPr fontId="1" type="noConversion"/>
  </si>
  <si>
    <t>daveki21</t>
  </si>
  <si>
    <t>Dave King</t>
  </si>
  <si>
    <t>daveki21@comcast.net</t>
  </si>
  <si>
    <t>+1 206-719-0217</t>
  </si>
  <si>
    <t>56 QT</t>
    <phoneticPr fontId="1" type="noConversion"/>
  </si>
  <si>
    <t>We do not need this parts</t>
    <phoneticPr fontId="1" type="noConversion"/>
  </si>
  <si>
    <t>TBA077910681301</t>
  </si>
  <si>
    <t>394419940135</t>
    <phoneticPr fontId="1" type="noConversion"/>
  </si>
  <si>
    <t>Fedex</t>
    <phoneticPr fontId="1" type="noConversion"/>
  </si>
  <si>
    <t>Jul08-09</t>
    <phoneticPr fontId="1" type="noConversion"/>
  </si>
  <si>
    <t>Jul02 Arrived</t>
    <phoneticPr fontId="1" type="noConversion"/>
  </si>
  <si>
    <t>51 days</t>
    <phoneticPr fontId="1" type="noConversion"/>
  </si>
  <si>
    <t>111-4017800-7921808</t>
  </si>
  <si>
    <t>Jul03</t>
    <phoneticPr fontId="1" type="noConversion"/>
  </si>
  <si>
    <t>111-4907224-2421009</t>
  </si>
  <si>
    <t>SO17531214</t>
  </si>
  <si>
    <t>Zoro 56QT</t>
    <phoneticPr fontId="1" type="noConversion"/>
  </si>
  <si>
    <t>111-0385455-7858636</t>
  </si>
  <si>
    <t>AZ TRUE barrel</t>
    <phoneticPr fontId="1" type="noConversion"/>
  </si>
  <si>
    <t>9400111899563169969352</t>
    <phoneticPr fontId="1" type="noConversion"/>
  </si>
  <si>
    <r>
      <t>cheshman ---------</t>
    </r>
    <r>
      <rPr>
        <sz val="10"/>
        <color rgb="FFFF0000"/>
        <rFont val="Arial Unicode MS"/>
        <family val="2"/>
        <charset val="136"/>
      </rPr>
      <t xml:space="preserve"> Cancel</t>
    </r>
    <phoneticPr fontId="1" type="noConversion"/>
  </si>
  <si>
    <t>111-7046732-6020266</t>
  </si>
  <si>
    <t>#TC1026</t>
  </si>
  <si>
    <t xml:space="preserve">SO17533070 </t>
  </si>
  <si>
    <t>1ZX1W6760329971991</t>
  </si>
  <si>
    <t>Jul07</t>
    <phoneticPr fontId="1" type="noConversion"/>
  </si>
  <si>
    <t>#TC1027</t>
  </si>
  <si>
    <t>Jul17 --&gt; Jun10</t>
    <phoneticPr fontId="1" type="noConversion"/>
  </si>
  <si>
    <t>9374889671090660076086</t>
    <phoneticPr fontId="1" type="noConversion"/>
  </si>
  <si>
    <t>AdeadedC</t>
    <phoneticPr fontId="1" type="noConversion"/>
  </si>
  <si>
    <t>Louver</t>
    <phoneticPr fontId="1" type="noConversion"/>
  </si>
  <si>
    <t>Mona</t>
    <phoneticPr fontId="1" type="noConversion"/>
  </si>
  <si>
    <t>111-0522078-4502618</t>
  </si>
  <si>
    <t>9361289687091012731276</t>
    <phoneticPr fontId="1" type="noConversion"/>
  </si>
  <si>
    <t>9374889690090829329874</t>
    <phoneticPr fontId="1" type="noConversion"/>
  </si>
  <si>
    <t>TAC Curtain - Eyes</t>
    <phoneticPr fontId="1" type="noConversion"/>
  </si>
  <si>
    <t>south3rn_sol3z</t>
  </si>
  <si>
    <t>Eclectic</t>
  </si>
  <si>
    <t>showmeyourkicks@gmail.com</t>
  </si>
  <si>
    <t>+1 334-329-3431</t>
  </si>
  <si>
    <t xml:space="preserve">TAC  </t>
    <phoneticPr fontId="1" type="noConversion"/>
  </si>
  <si>
    <t>Eyes</t>
    <phoneticPr fontId="1" type="noConversion"/>
  </si>
  <si>
    <t>Bird</t>
    <phoneticPr fontId="1" type="noConversion"/>
  </si>
  <si>
    <t>AZ</t>
    <phoneticPr fontId="1" type="noConversion"/>
  </si>
  <si>
    <t>Palm</t>
    <phoneticPr fontId="1" type="noConversion"/>
  </si>
  <si>
    <t>AbeadedC</t>
    <phoneticPr fontId="1" type="noConversion"/>
  </si>
  <si>
    <t>Virgin Mary</t>
    <phoneticPr fontId="1" type="noConversion"/>
  </si>
  <si>
    <t>Zoro</t>
    <phoneticPr fontId="1" type="noConversion"/>
  </si>
  <si>
    <t>TAC</t>
    <phoneticPr fontId="1" type="noConversion"/>
  </si>
  <si>
    <t>Tree</t>
    <phoneticPr fontId="1" type="noConversion"/>
  </si>
  <si>
    <t>emnor6</t>
  </si>
  <si>
    <t>Emily Norrell</t>
  </si>
  <si>
    <t>emilyzabel@yahoo.com</t>
  </si>
  <si>
    <t>+1 903-701-6257</t>
  </si>
  <si>
    <t>Intex Cooler Mage I</t>
    <phoneticPr fontId="1" type="noConversion"/>
  </si>
  <si>
    <t>shawn19317</t>
  </si>
  <si>
    <t>shawn park</t>
  </si>
  <si>
    <t>shawn.socialoutk@gmail.com</t>
  </si>
  <si>
    <t>+1 610-533-1274</t>
  </si>
  <si>
    <t>Cooler Mega I</t>
    <phoneticPr fontId="1" type="noConversion"/>
  </si>
  <si>
    <t>aplaw-45</t>
  </si>
  <si>
    <t>April Lawson</t>
  </si>
  <si>
    <t>papanana25@yahoo.com</t>
  </si>
  <si>
    <t>+1 812-585-2187</t>
  </si>
  <si>
    <t>111-1106228-5129039</t>
  </si>
  <si>
    <t>SeasonWide</t>
    <phoneticPr fontId="1" type="noConversion"/>
  </si>
  <si>
    <t>111-5220508-4457832</t>
  </si>
  <si>
    <t>Amazon</t>
    <phoneticPr fontId="1" type="noConversion"/>
  </si>
  <si>
    <t>111-5738142-5484210</t>
  </si>
  <si>
    <t>papa_joe7 -------------- PR</t>
    <phoneticPr fontId="1" type="noConversion"/>
  </si>
  <si>
    <t>04-05330-59929</t>
  </si>
  <si>
    <t>Jul10</t>
    <phoneticPr fontId="1" type="noConversion"/>
  </si>
  <si>
    <t>12-05329-93472</t>
  </si>
  <si>
    <t>Jul20</t>
    <phoneticPr fontId="1" type="noConversion"/>
  </si>
  <si>
    <t>Curtain - Louver</t>
    <phoneticPr fontId="1" type="noConversion"/>
  </si>
  <si>
    <t>Plano Tote 108 QT - Black</t>
    <phoneticPr fontId="1" type="noConversion"/>
  </si>
  <si>
    <t>dannbower28</t>
  </si>
  <si>
    <t>Danny Bowers</t>
  </si>
  <si>
    <t>dannybowers235@gmail.com</t>
  </si>
  <si>
    <t>+1 802-888-7719</t>
  </si>
  <si>
    <t>1russel</t>
  </si>
  <si>
    <t>rusself@va.metrocast.net</t>
  </si>
  <si>
    <t>+1 804-436-3542</t>
  </si>
  <si>
    <t>Louver</t>
    <phoneticPr fontId="1" type="noConversion"/>
  </si>
  <si>
    <t>Naomi St.Cyr</t>
    <phoneticPr fontId="1" type="noConversion"/>
  </si>
  <si>
    <t>Candace Collins</t>
    <phoneticPr fontId="1" type="noConversion"/>
  </si>
  <si>
    <t>Jun23 Del</t>
    <phoneticPr fontId="1" type="noConversion"/>
  </si>
  <si>
    <t>Curtain - Mona</t>
    <phoneticPr fontId="1" type="noConversion"/>
  </si>
  <si>
    <t>Brandon Aguchak</t>
  </si>
  <si>
    <t>baguchak@me.com</t>
  </si>
  <si>
    <t>+1 907-558-6269</t>
  </si>
  <si>
    <t>108 QT grey</t>
    <phoneticPr fontId="1" type="noConversion"/>
  </si>
  <si>
    <t>108 QT Black</t>
    <phoneticPr fontId="1" type="noConversion"/>
  </si>
  <si>
    <t>Mona</t>
    <phoneticPr fontId="1" type="noConversion"/>
  </si>
  <si>
    <t>TAC Curtain - Color Wave</t>
    <phoneticPr fontId="1" type="noConversion"/>
  </si>
  <si>
    <t>John Blake</t>
  </si>
  <si>
    <t>johnwayneollie@gmail.com</t>
  </si>
  <si>
    <t>+1 559-355-7530</t>
  </si>
  <si>
    <t>Color Wave</t>
    <phoneticPr fontId="1" type="noConversion"/>
  </si>
  <si>
    <t>brada158</t>
  </si>
  <si>
    <t>bradley davis</t>
  </si>
  <si>
    <t>bdavis77771961@yahoo.com</t>
  </si>
  <si>
    <t>+1 843-209-3952</t>
  </si>
  <si>
    <t>pz3nr5</t>
  </si>
  <si>
    <t>Alan Crecelius</t>
  </si>
  <si>
    <t>alancrecelius@outlook.com</t>
  </si>
  <si>
    <t>+1 904-525-5470</t>
  </si>
  <si>
    <t>TBA079805313101</t>
    <phoneticPr fontId="1" type="noConversion"/>
  </si>
  <si>
    <t>AL</t>
    <phoneticPr fontId="1" type="noConversion"/>
  </si>
  <si>
    <t>TBA079736150401</t>
  </si>
  <si>
    <t>394488487493</t>
    <phoneticPr fontId="1" type="noConversion"/>
  </si>
  <si>
    <t>cantdowithoutstuff ------- Cancel</t>
    <phoneticPr fontId="1" type="noConversion"/>
  </si>
  <si>
    <t>9405509205568706288986</t>
    <phoneticPr fontId="1" type="noConversion"/>
  </si>
  <si>
    <t>9405509205568706289037</t>
    <phoneticPr fontId="1" type="noConversion"/>
  </si>
  <si>
    <t>Chris Harris</t>
  </si>
  <si>
    <t>cnkh96720@yahoo.com</t>
  </si>
  <si>
    <t>+1 808-896-0242</t>
  </si>
  <si>
    <t>Hose n Adaptor</t>
    <phoneticPr fontId="1" type="noConversion"/>
  </si>
  <si>
    <t>Intex Adaptor A</t>
    <phoneticPr fontId="1" type="noConversion"/>
  </si>
  <si>
    <t>hilt_rober</t>
  </si>
  <si>
    <t>Robert Hilty</t>
  </si>
  <si>
    <t>bobhilty@klumpexcavating.com</t>
  </si>
  <si>
    <t>+1 513-616-1889</t>
  </si>
  <si>
    <t>ba.vank.5cy3xv7vio</t>
  </si>
  <si>
    <t>angela shephard</t>
  </si>
  <si>
    <t>ankontherivah@gmail.com</t>
  </si>
  <si>
    <t>+1 804-296-8035</t>
  </si>
  <si>
    <t xml:space="preserve">111-3745337-6235464 </t>
  </si>
  <si>
    <t>Jul15-16</t>
    <phoneticPr fontId="1" type="noConversion"/>
  </si>
  <si>
    <t>111-7452208-4661861</t>
  </si>
  <si>
    <t>TBA080586163601</t>
  </si>
  <si>
    <t>US Weight 30 lb</t>
    <phoneticPr fontId="1" type="noConversion"/>
  </si>
  <si>
    <t>US Weight 40 lb</t>
    <phoneticPr fontId="1" type="noConversion"/>
  </si>
  <si>
    <t>Jul05 Del</t>
    <phoneticPr fontId="1" type="noConversion"/>
  </si>
  <si>
    <t>chri.rand</t>
  </si>
  <si>
    <t>Randy Christopher</t>
  </si>
  <si>
    <t>chevyracing321@hotmail.com</t>
  </si>
  <si>
    <t>+1 231-570-0153</t>
  </si>
  <si>
    <t>Mark Longeneker</t>
  </si>
  <si>
    <t>longfarmer@hotmail.com</t>
  </si>
  <si>
    <t>+1 507-317-2132</t>
  </si>
  <si>
    <t>Plano Tote 68 QT -- Green</t>
    <phoneticPr fontId="1" type="noConversion"/>
  </si>
  <si>
    <t>elee1776</t>
  </si>
  <si>
    <t>Shawn Lee</t>
  </si>
  <si>
    <t>leemn2009@yahoo.com</t>
  </si>
  <si>
    <t>+1 651-238-3001</t>
  </si>
  <si>
    <t>Plano Tote 108 QT -- Black</t>
    <phoneticPr fontId="1" type="noConversion"/>
  </si>
  <si>
    <t>kansa30</t>
  </si>
  <si>
    <t>Donald Doherty</t>
  </si>
  <si>
    <t>imzephyrus@cox.net</t>
  </si>
  <si>
    <t>+1 785-608-4985</t>
  </si>
  <si>
    <t>68 QT Green</t>
    <phoneticPr fontId="1" type="noConversion"/>
  </si>
  <si>
    <t>ninoskahumphreys25@yahoo.com</t>
  </si>
  <si>
    <t>+1 787-486-1337</t>
  </si>
  <si>
    <t>Ninoska Humphreys</t>
  </si>
  <si>
    <t>naydalizrivera3111@gmail.com</t>
  </si>
  <si>
    <t>+1 787-215-7506</t>
  </si>
  <si>
    <t>win70super</t>
  </si>
  <si>
    <t>Bob Seyler</t>
  </si>
  <si>
    <t>bob_seyler@yahoo.com</t>
  </si>
  <si>
    <t>+1 724-545-1697</t>
  </si>
  <si>
    <t>naydriv0</t>
  </si>
  <si>
    <t>Naydaliz Rivera Riquelme</t>
  </si>
  <si>
    <t>1672</t>
    <phoneticPr fontId="1" type="noConversion"/>
  </si>
  <si>
    <t>Poolspaoutpost</t>
    <phoneticPr fontId="1" type="noConversion"/>
  </si>
  <si>
    <t>Jul05 Del</t>
    <phoneticPr fontId="1" type="noConversion"/>
  </si>
  <si>
    <t>1Z811R360312282416</t>
    <phoneticPr fontId="1" type="noConversion"/>
  </si>
  <si>
    <t>UPS</t>
    <phoneticPr fontId="1" type="noConversion"/>
  </si>
  <si>
    <t>111-5071615-4107408</t>
  </si>
  <si>
    <t>Jul24-27</t>
    <phoneticPr fontId="1" type="noConversion"/>
  </si>
  <si>
    <t xml:space="preserve">111-7543160-3569001 </t>
  </si>
  <si>
    <t>111-1043524-5573014</t>
  </si>
  <si>
    <t>Jul28-Aug03</t>
    <phoneticPr fontId="1" type="noConversion"/>
  </si>
  <si>
    <t>09-05344-13306</t>
    <phoneticPr fontId="1" type="noConversion"/>
  </si>
  <si>
    <t>Jul11</t>
    <phoneticPr fontId="1" type="noConversion"/>
  </si>
  <si>
    <t>Intex Adaptor B</t>
    <phoneticPr fontId="1" type="noConversion"/>
  </si>
  <si>
    <t>GAME 4558 Hose Adapter</t>
    <phoneticPr fontId="1" type="noConversion"/>
  </si>
  <si>
    <t>26-05342-81456</t>
    <phoneticPr fontId="1" type="noConversion"/>
  </si>
  <si>
    <t>111-1049074-2732221</t>
  </si>
  <si>
    <t>111-0865347-9632203</t>
  </si>
  <si>
    <t>Jul16</t>
    <phoneticPr fontId="1" type="noConversion"/>
  </si>
  <si>
    <t>111-0687779-0204206</t>
  </si>
  <si>
    <t>mom_of_1234</t>
  </si>
  <si>
    <t>Jamie Boe</t>
  </si>
  <si>
    <t>jamiejon87124@yahoo.com</t>
  </si>
  <si>
    <t>+1 505-604-6613</t>
  </si>
  <si>
    <t>vasco.roma</t>
  </si>
  <si>
    <t>Vasco Roma</t>
  </si>
  <si>
    <t>vasco.roma.pub@gmail.com</t>
  </si>
  <si>
    <t>+1 201-401-0877</t>
  </si>
  <si>
    <t>3 Turtle</t>
    <phoneticPr fontId="1" type="noConversion"/>
  </si>
  <si>
    <t>111-5317424-5357805</t>
  </si>
  <si>
    <t>1111216</t>
    <phoneticPr fontId="1" type="noConversion"/>
  </si>
  <si>
    <t>Jul17-20</t>
    <phoneticPr fontId="1" type="noConversion"/>
  </si>
  <si>
    <t>Jul21-27</t>
    <phoneticPr fontId="1" type="noConversion"/>
  </si>
  <si>
    <t>TBA081305826601</t>
  </si>
  <si>
    <t>394546117554</t>
    <phoneticPr fontId="1" type="noConversion"/>
  </si>
  <si>
    <t>394264472671</t>
    <phoneticPr fontId="1" type="noConversion"/>
  </si>
  <si>
    <t>1Z5937E30345236237</t>
  </si>
  <si>
    <t>Jul09</t>
    <phoneticPr fontId="1" type="noConversion"/>
  </si>
  <si>
    <t>1Z5937E30345413741</t>
  </si>
  <si>
    <t>**********</t>
    <phoneticPr fontId="1" type="noConversion"/>
  </si>
  <si>
    <t>nicholas cove</t>
    <phoneticPr fontId="1" type="noConversion"/>
  </si>
  <si>
    <t>US Weight 20 lb</t>
    <phoneticPr fontId="1" type="noConversion"/>
  </si>
  <si>
    <t>Metal Plate - 6 Geeko</t>
    <phoneticPr fontId="1" type="noConversion"/>
  </si>
  <si>
    <t>josepowen-74</t>
  </si>
  <si>
    <t>Joseph Owens</t>
  </si>
  <si>
    <t>josephaowens39@gmail.com</t>
  </si>
  <si>
    <t>+1 228-918-0425</t>
  </si>
  <si>
    <t>dbdigart15</t>
  </si>
  <si>
    <t>Daniel Betancourt</t>
  </si>
  <si>
    <t>starrwars2</t>
  </si>
  <si>
    <t>JEFF STARROFF</t>
  </si>
  <si>
    <t>jstarroff@gmail.com</t>
  </si>
  <si>
    <t>+1 360-807-3928</t>
  </si>
  <si>
    <t>US Wegith 20 lb</t>
    <phoneticPr fontId="1" type="noConversion"/>
  </si>
  <si>
    <t>exit51crash</t>
  </si>
  <si>
    <t>Angela Booth</t>
  </si>
  <si>
    <t>jaredpbooth@gmail.com</t>
  </si>
  <si>
    <t>+1 407-797-3573</t>
  </si>
  <si>
    <t>evestan21</t>
  </si>
  <si>
    <t>Evelyn Stanaway</t>
  </si>
  <si>
    <t>evstanaway@yahoo.com</t>
  </si>
  <si>
    <t>+1 906-486-6574</t>
  </si>
  <si>
    <t>memphisj83</t>
  </si>
  <si>
    <t>chris ferguson</t>
  </si>
  <si>
    <t>Metal Plate - Turtle 3pc</t>
    <phoneticPr fontId="1" type="noConversion"/>
  </si>
  <si>
    <t>cf7609@comcast.net</t>
  </si>
  <si>
    <t>+1 239-454-1911</t>
  </si>
  <si>
    <t>Geeko 3pc</t>
    <phoneticPr fontId="1" type="noConversion"/>
  </si>
  <si>
    <t>suzukiman03</t>
  </si>
  <si>
    <t>Jeff Stubler</t>
  </si>
  <si>
    <t>oldcarnut1959@gmail.com</t>
  </si>
  <si>
    <t>+1 410-300-8587</t>
  </si>
  <si>
    <t>1111147</t>
    <phoneticPr fontId="1" type="noConversion"/>
  </si>
  <si>
    <t>1Z6YY7520393628915</t>
  </si>
  <si>
    <t>diber_1973</t>
    <phoneticPr fontId="1" type="noConversion"/>
  </si>
  <si>
    <t>1111154</t>
    <phoneticPr fontId="1" type="noConversion"/>
  </si>
  <si>
    <t>***</t>
    <phoneticPr fontId="1" type="noConversion"/>
  </si>
  <si>
    <t>1Z6YY7520392844817</t>
  </si>
  <si>
    <t>1111167</t>
    <phoneticPr fontId="1" type="noConversion"/>
  </si>
  <si>
    <t>1Z6YY7520390796874</t>
  </si>
  <si>
    <t>111-0685127-9449860</t>
  </si>
  <si>
    <t>Sunset</t>
    <phoneticPr fontId="1" type="noConversion"/>
  </si>
  <si>
    <t>Jul16-20</t>
    <phoneticPr fontId="1" type="noConversion"/>
  </si>
  <si>
    <t>111-2043155-4638612</t>
  </si>
  <si>
    <t>Bookcase</t>
    <phoneticPr fontId="1" type="noConversion"/>
  </si>
  <si>
    <t>robtownsend1@yahoo.com</t>
  </si>
  <si>
    <t>+1 765-472-7225</t>
  </si>
  <si>
    <t>cnkh-5  ----------- Haiwaii</t>
    <phoneticPr fontId="1" type="noConversion"/>
  </si>
  <si>
    <t>9274899993700306986783</t>
    <phoneticPr fontId="1" type="noConversion"/>
  </si>
  <si>
    <t>TBA081815677101</t>
  </si>
  <si>
    <t>AL</t>
    <phoneticPr fontId="1" type="noConversion"/>
  </si>
  <si>
    <t>TBA081748938301</t>
  </si>
  <si>
    <t>revmel53</t>
  </si>
  <si>
    <t>Dave Melton</t>
  </si>
  <si>
    <t>dukedavid@aol.com</t>
  </si>
  <si>
    <t>+1 336-317-0860</t>
  </si>
  <si>
    <t>#TC1028</t>
    <phoneticPr fontId="1" type="noConversion"/>
  </si>
  <si>
    <t>#TC1029</t>
  </si>
  <si>
    <t>111-2532750-9905830</t>
  </si>
  <si>
    <t>Jul13</t>
    <phoneticPr fontId="1" type="noConversion"/>
  </si>
  <si>
    <t>SO17597867</t>
  </si>
  <si>
    <t>baguchak2012 ------- AK</t>
    <phoneticPr fontId="1" type="noConversion"/>
  </si>
  <si>
    <t>Jul06 Del</t>
    <phoneticPr fontId="1" type="noConversion"/>
  </si>
  <si>
    <t>1Z5937E30345526585</t>
  </si>
  <si>
    <t>Jul13</t>
    <phoneticPr fontId="1" type="noConversion"/>
  </si>
  <si>
    <t>patribot</t>
  </si>
  <si>
    <t>patric bott</t>
  </si>
  <si>
    <t>patbott44@yahoo.com</t>
  </si>
  <si>
    <t>+1 989-533-9159</t>
  </si>
  <si>
    <t>Alba Lopez</t>
  </si>
  <si>
    <t>menjivarjose345@gmail.com</t>
  </si>
  <si>
    <t>+1 908-405-9585</t>
  </si>
  <si>
    <t>flatop016@gmail.com</t>
  </si>
  <si>
    <t>+1 508-962-5226</t>
  </si>
  <si>
    <t>chris tavares</t>
  </si>
  <si>
    <t>chtav-36 ---------- Cancel</t>
    <phoneticPr fontId="1" type="noConversion"/>
  </si>
  <si>
    <t>SO17611066</t>
  </si>
  <si>
    <t>1Z5937E30345953819</t>
  </si>
  <si>
    <t>9405511899223242050751</t>
    <phoneticPr fontId="1" type="noConversion"/>
  </si>
  <si>
    <t>USPS</t>
    <phoneticPr fontId="1" type="noConversion"/>
  </si>
  <si>
    <t>9405511899223242050713</t>
    <phoneticPr fontId="1" type="noConversion"/>
  </si>
  <si>
    <t xml:space="preserve"> </t>
    <phoneticPr fontId="1" type="noConversion"/>
  </si>
  <si>
    <t>Jul07 Del</t>
    <phoneticPr fontId="1" type="noConversion"/>
  </si>
  <si>
    <t>92055901755477000201519644</t>
    <phoneticPr fontId="1" type="noConversion"/>
  </si>
  <si>
    <t>92055901755477000201519620</t>
    <phoneticPr fontId="1" type="noConversion"/>
  </si>
  <si>
    <t>111-4413979-3005823</t>
  </si>
  <si>
    <t>Jul17-21</t>
    <phoneticPr fontId="1" type="noConversion"/>
  </si>
  <si>
    <t>111-8139495-6381048</t>
  </si>
  <si>
    <t>111-0663463-7567418</t>
  </si>
  <si>
    <t>1Z5937E30344809423</t>
  </si>
  <si>
    <t>Jul14</t>
    <phoneticPr fontId="1" type="noConversion"/>
  </si>
  <si>
    <t>1Z6W75630329819075</t>
  </si>
  <si>
    <t>123695</t>
    <phoneticPr fontId="1" type="noConversion"/>
  </si>
  <si>
    <t>w w poolsupplies</t>
    <phoneticPr fontId="1" type="noConversion"/>
  </si>
  <si>
    <t>Plano Tote 68 QT -- Black</t>
    <phoneticPr fontId="1" type="noConversion"/>
  </si>
  <si>
    <t>Intex Adapter A n B</t>
    <phoneticPr fontId="1" type="noConversion"/>
  </si>
  <si>
    <t>quakertrex</t>
  </si>
  <si>
    <t>Lisa B. Russell</t>
  </si>
  <si>
    <t>lisanursemn@yahoo.com</t>
  </si>
  <si>
    <t>+1 612-749-0515</t>
  </si>
  <si>
    <t>Adapter A n B</t>
    <phoneticPr fontId="1" type="noConversion"/>
  </si>
  <si>
    <t>jerde_850</t>
  </si>
  <si>
    <t>Jeremy dean</t>
  </si>
  <si>
    <t>8119dean@gmail.com</t>
  </si>
  <si>
    <t>+1 316-833-9810</t>
  </si>
  <si>
    <t>angela mier</t>
  </si>
  <si>
    <t>angelamier50@gmail.com</t>
  </si>
  <si>
    <t>+1 915-261-4072</t>
  </si>
  <si>
    <t xml:space="preserve">68QT </t>
    <phoneticPr fontId="1" type="noConversion"/>
  </si>
  <si>
    <t>johnwayne.337</t>
  </si>
  <si>
    <t>johnny king</t>
  </si>
  <si>
    <t>kingjohnnyking@aol.com</t>
  </si>
  <si>
    <t>+1 830-399-9877</t>
  </si>
  <si>
    <t>angelmie-0 ---------- Cancel</t>
    <phoneticPr fontId="1" type="noConversion"/>
  </si>
  <si>
    <t>Jul08 Del</t>
    <phoneticPr fontId="1" type="noConversion"/>
  </si>
  <si>
    <t>394630555803</t>
    <phoneticPr fontId="1" type="noConversion"/>
  </si>
  <si>
    <t>1Z9YF2211312995760</t>
  </si>
  <si>
    <t>UPS</t>
    <phoneticPr fontId="1" type="noConversion"/>
  </si>
  <si>
    <t>9405511899223244502500</t>
    <phoneticPr fontId="1" type="noConversion"/>
  </si>
  <si>
    <t>9205590213424723753793</t>
    <phoneticPr fontId="1" type="noConversion"/>
  </si>
  <si>
    <t>Intex SK Adapter</t>
    <phoneticPr fontId="1" type="noConversion"/>
  </si>
  <si>
    <t>18-05362-34427</t>
    <phoneticPr fontId="1" type="noConversion"/>
  </si>
  <si>
    <t>Jul15</t>
    <phoneticPr fontId="1" type="noConversion"/>
  </si>
  <si>
    <t>ID=costumeish</t>
    <phoneticPr fontId="1" type="noConversion"/>
  </si>
  <si>
    <t>9200190233107601379841</t>
    <phoneticPr fontId="1" type="noConversion"/>
  </si>
  <si>
    <t>Jul07</t>
    <phoneticPr fontId="1" type="noConversion"/>
  </si>
  <si>
    <t>Jul16</t>
    <phoneticPr fontId="1" type="noConversion"/>
  </si>
  <si>
    <t>GAME 4558</t>
    <phoneticPr fontId="1" type="noConversion"/>
  </si>
  <si>
    <t>#TC1032</t>
  </si>
  <si>
    <t>111-2973007-3022656</t>
  </si>
  <si>
    <t>Jul11</t>
    <phoneticPr fontId="1" type="noConversion"/>
  </si>
  <si>
    <t>Jul11-13</t>
    <phoneticPr fontId="1" type="noConversion"/>
  </si>
  <si>
    <t>111-7479589-7751430</t>
  </si>
  <si>
    <t>Jul09</t>
    <phoneticPr fontId="1" type="noConversion"/>
  </si>
  <si>
    <t>111-2942915-7327432</t>
  </si>
  <si>
    <t>Jul20-22</t>
    <phoneticPr fontId="1" type="noConversion"/>
  </si>
  <si>
    <t>111-1442760-0141044</t>
  </si>
  <si>
    <t>SO17638066</t>
  </si>
  <si>
    <t>Curtain - Viginia Mary</t>
    <phoneticPr fontId="1" type="noConversion"/>
  </si>
  <si>
    <t>394670658382</t>
    <phoneticPr fontId="1" type="noConversion"/>
  </si>
  <si>
    <t>9405511899223240377447</t>
    <phoneticPr fontId="1" type="noConversion"/>
  </si>
  <si>
    <t>Plano Tote 68 QT -- Black</t>
    <phoneticPr fontId="1" type="noConversion"/>
  </si>
  <si>
    <t>Intex Skimmer Hose Adaptor</t>
    <phoneticPr fontId="1" type="noConversion"/>
  </si>
  <si>
    <t>David Romano</t>
  </si>
  <si>
    <t>mjl21863  ---------- Cancel</t>
    <phoneticPr fontId="1" type="noConversion"/>
  </si>
  <si>
    <t>elizsanche_7</t>
  </si>
  <si>
    <t>eliza sanchez</t>
  </si>
  <si>
    <t>a.elizabethsanchez@gmail.com</t>
  </si>
  <si>
    <t>+1 831-295-1142</t>
  </si>
  <si>
    <t>AbeadedCurtain</t>
    <phoneticPr fontId="1" type="noConversion"/>
  </si>
  <si>
    <t>tifel_3699</t>
  </si>
  <si>
    <t>Ricardo Balderas</t>
  </si>
  <si>
    <t>felton501@gmail.com</t>
  </si>
  <si>
    <t>+1 240-593-0049</t>
  </si>
  <si>
    <t>daiv34</t>
  </si>
  <si>
    <t>Dale Ivey</t>
  </si>
  <si>
    <t>ivey_love@hotmail.com</t>
  </si>
  <si>
    <t>+1 206-931-1116</t>
  </si>
  <si>
    <t>111-9178726-6171463</t>
  </si>
  <si>
    <t>111-0599464-3265057</t>
  </si>
  <si>
    <t>9400116901586704217243</t>
    <phoneticPr fontId="1" type="noConversion"/>
  </si>
  <si>
    <t>9400116901586704217380</t>
    <phoneticPr fontId="1" type="noConversion"/>
  </si>
  <si>
    <t>03-05363-50388</t>
    <phoneticPr fontId="1" type="noConversion"/>
  </si>
  <si>
    <t>chubby_boy_swag ------------ RI</t>
    <phoneticPr fontId="1" type="noConversion"/>
  </si>
  <si>
    <t>13-05368-38198</t>
    <phoneticPr fontId="1" type="noConversion"/>
  </si>
  <si>
    <t>Jul21</t>
    <phoneticPr fontId="1" type="noConversion"/>
  </si>
  <si>
    <t>11-05368-86556</t>
    <phoneticPr fontId="1" type="noConversion"/>
  </si>
  <si>
    <t>18-05367-89439</t>
    <phoneticPr fontId="1" type="noConversion"/>
  </si>
  <si>
    <t>111-8017940-6481060</t>
  </si>
  <si>
    <t>111-4354528-5375465</t>
    <phoneticPr fontId="1" type="noConversion"/>
  </si>
  <si>
    <t>Jul12</t>
    <phoneticPr fontId="1" type="noConversion"/>
  </si>
  <si>
    <t>111-1106240-4779423</t>
  </si>
  <si>
    <t>lilbi5112</t>
  </si>
  <si>
    <t>Laura Brown</t>
  </si>
  <si>
    <t>lilbit3409@gmail.com</t>
  </si>
  <si>
    <t>+1 951-282-4155</t>
  </si>
  <si>
    <t>dcrcustoms ----------- Cancelled</t>
    <phoneticPr fontId="1" type="noConversion"/>
  </si>
  <si>
    <t>marycruz1997@yahoo.com</t>
  </si>
  <si>
    <t>+1 787-509-9592</t>
  </si>
  <si>
    <t>Maritza Cruz</t>
  </si>
  <si>
    <t>Jul12-15</t>
    <phoneticPr fontId="1" type="noConversion"/>
  </si>
  <si>
    <t>Jul16 -&gt; Jul08-11 --&gt; Jul12-16</t>
    <phoneticPr fontId="1" type="noConversion"/>
  </si>
  <si>
    <t>1ZYF88560319145859</t>
  </si>
  <si>
    <t>1Z2ER5090362669346</t>
    <phoneticPr fontId="1" type="noConversion"/>
  </si>
  <si>
    <t>Jul10-11</t>
    <phoneticPr fontId="1" type="noConversion"/>
  </si>
  <si>
    <t>9361289703090678206941</t>
    <phoneticPr fontId="1" type="noConversion"/>
  </si>
  <si>
    <t>9361289683090607178278</t>
    <phoneticPr fontId="1" type="noConversion"/>
  </si>
  <si>
    <t>111-8787199-5368265</t>
  </si>
  <si>
    <t>111-3780336-3837016</t>
  </si>
  <si>
    <t>Regal Art</t>
    <phoneticPr fontId="1" type="noConversion"/>
  </si>
  <si>
    <t>111-6374835-1997040</t>
  </si>
  <si>
    <t>9400116901586704235780</t>
    <phoneticPr fontId="1" type="noConversion"/>
  </si>
  <si>
    <t>9400116901586704235117</t>
    <phoneticPr fontId="1" type="noConversion"/>
  </si>
  <si>
    <t>Need to Cancel</t>
    <phoneticPr fontId="1" type="noConversion"/>
  </si>
  <si>
    <t>9400116901586704235148</t>
    <phoneticPr fontId="1" type="noConversion"/>
  </si>
  <si>
    <t>09-05373-63336</t>
    <phoneticPr fontId="1" type="noConversion"/>
  </si>
  <si>
    <t>TBA085578182201</t>
    <phoneticPr fontId="1" type="noConversion"/>
  </si>
  <si>
    <t>9205590213422842987372</t>
    <phoneticPr fontId="1" type="noConversion"/>
  </si>
  <si>
    <t xml:space="preserve">9361289676091222006496
</t>
    <phoneticPr fontId="1" type="noConversion"/>
  </si>
  <si>
    <t>9374889680090746062758</t>
    <phoneticPr fontId="1" type="noConversion"/>
  </si>
  <si>
    <t>1Z5937E30343207307</t>
  </si>
  <si>
    <t>US Weight 20 lb</t>
    <phoneticPr fontId="1" type="noConversion"/>
  </si>
  <si>
    <t>annob-88</t>
  </si>
  <si>
    <t>Anne Nobles</t>
  </si>
  <si>
    <t>annienobles@hotmail.com</t>
  </si>
  <si>
    <t>+1 847-951-2991</t>
  </si>
  <si>
    <t>02-05374-91727</t>
    <phoneticPr fontId="1" type="noConversion"/>
  </si>
  <si>
    <t xml:space="preserve">costumeish </t>
  </si>
  <si>
    <t>15-05373-61369</t>
    <phoneticPr fontId="1" type="noConversion"/>
  </si>
  <si>
    <t>9374889706090977316115</t>
    <phoneticPr fontId="1" type="noConversion"/>
  </si>
  <si>
    <t>Need Return Doorway too short</t>
    <phoneticPr fontId="1" type="noConversion"/>
  </si>
  <si>
    <t xml:space="preserve">9374889725009228519460
</t>
    <phoneticPr fontId="1" type="noConversion"/>
  </si>
  <si>
    <t>Curtain - Bookcase</t>
    <phoneticPr fontId="1" type="noConversion"/>
  </si>
  <si>
    <t>1Z4450W50267498176</t>
  </si>
  <si>
    <t>9361289685090806002433</t>
    <phoneticPr fontId="1" type="noConversion"/>
  </si>
  <si>
    <t>Curtain - Sunset</t>
    <phoneticPr fontId="1" type="noConversion"/>
  </si>
  <si>
    <t>Curtain - Stairway</t>
    <phoneticPr fontId="1" type="noConversion"/>
  </si>
  <si>
    <t>Intex - O Ring Air Release V</t>
    <phoneticPr fontId="1" type="noConversion"/>
  </si>
  <si>
    <t>Intex Adapter A</t>
    <phoneticPr fontId="1" type="noConversion"/>
  </si>
  <si>
    <t>Adapter A</t>
    <phoneticPr fontId="1" type="noConversion"/>
  </si>
  <si>
    <t>Adapter B</t>
    <phoneticPr fontId="1" type="noConversion"/>
  </si>
  <si>
    <t>O Ring Air Release V</t>
    <phoneticPr fontId="1" type="noConversion"/>
  </si>
  <si>
    <t>Stairway</t>
    <phoneticPr fontId="1" type="noConversion"/>
  </si>
  <si>
    <t>lizzynat2014</t>
  </si>
  <si>
    <t>Natalie Schoolar</t>
  </si>
  <si>
    <t>lizzy_nat@hotmail.com</t>
  </si>
  <si>
    <t>+1 256-509-9522</t>
  </si>
  <si>
    <t>johregnie0</t>
  </si>
  <si>
    <t>John Regnier</t>
  </si>
  <si>
    <t>johnregnier51@yahoo.com</t>
  </si>
  <si>
    <t>+1 413-297-4211</t>
  </si>
  <si>
    <t>hernluig</t>
  </si>
  <si>
    <t>Paulina Martinez</t>
  </si>
  <si>
    <t>iehernandez0611@gmail.com</t>
  </si>
  <si>
    <t>+1 562-206-6599</t>
  </si>
  <si>
    <t>mieden-86</t>
  </si>
  <si>
    <t>mike edenburn</t>
  </si>
  <si>
    <t>dmedenburn@yahoo.com</t>
  </si>
  <si>
    <t>+1 309-243-8868</t>
  </si>
  <si>
    <t>gmorr2112</t>
  </si>
  <si>
    <t>dave4ebay1@gmail.com</t>
  </si>
  <si>
    <t>+1 636-742-2802</t>
  </si>
  <si>
    <t>Intex Adapter B</t>
    <phoneticPr fontId="1" type="noConversion"/>
  </si>
  <si>
    <t>iris2919</t>
  </si>
  <si>
    <t>sean cogan</t>
  </si>
  <si>
    <t>irish0224@optonline.net</t>
  </si>
  <si>
    <t>+1 201-406-4024</t>
  </si>
  <si>
    <t>clydeu2006</t>
  </si>
  <si>
    <t>Clyde Ulmer</t>
  </si>
  <si>
    <t>clyde.ulmer@att.net</t>
  </si>
  <si>
    <t>+1 501-590-3951</t>
  </si>
  <si>
    <t>dbldybangofst007</t>
  </si>
  <si>
    <t>danon daleske</t>
  </si>
  <si>
    <t>daleske5@netins.net</t>
  </si>
  <si>
    <t>+1 515-893-2285</t>
  </si>
  <si>
    <t>jospow-2639</t>
  </si>
  <si>
    <t>Joshua Powers</t>
  </si>
  <si>
    <t>joshuapowers353@yahoo.com</t>
  </si>
  <si>
    <t>+1 512-799-4225</t>
  </si>
  <si>
    <t>Jul11 Del</t>
    <phoneticPr fontId="1" type="noConversion"/>
  </si>
  <si>
    <t>1Z3YE458YN09746381</t>
  </si>
  <si>
    <t>UPS Sure</t>
    <phoneticPr fontId="1" type="noConversion"/>
  </si>
  <si>
    <t>1Z2Y0E910300359943</t>
  </si>
  <si>
    <t>Russel Ferguson</t>
    <phoneticPr fontId="1" type="noConversion"/>
  </si>
  <si>
    <t>aidanjonas1_5</t>
  </si>
  <si>
    <t>Pamela Hanna</t>
  </si>
  <si>
    <t>aidanjonas1@gmail.com</t>
  </si>
  <si>
    <t>+1 304-544-0265</t>
  </si>
  <si>
    <t>cww123</t>
  </si>
  <si>
    <t>curtis white</t>
  </si>
  <si>
    <t>djdreams1@yahoo.com</t>
  </si>
  <si>
    <t>+1 913-709-1899</t>
  </si>
  <si>
    <t>111-4504755-8348232</t>
  </si>
  <si>
    <t>Jul10-13 delay</t>
    <phoneticPr fontId="1" type="noConversion"/>
  </si>
  <si>
    <t>Curtain - Louver</t>
    <phoneticPr fontId="1" type="noConversion"/>
  </si>
  <si>
    <t>Curtain - Vigin Mary</t>
    <phoneticPr fontId="1" type="noConversion"/>
  </si>
  <si>
    <t>Curtain - Natural Bamoo</t>
    <phoneticPr fontId="1" type="noConversion"/>
  </si>
  <si>
    <t>darlzan</t>
  </si>
  <si>
    <t>zane darling</t>
  </si>
  <si>
    <t>zanedarling63@gmail.com</t>
  </si>
  <si>
    <t>+1 432-524-7467</t>
  </si>
  <si>
    <t>shmop-ro-mntb3j</t>
  </si>
  <si>
    <t>Intex Adapter B -- Single</t>
    <phoneticPr fontId="1" type="noConversion"/>
  </si>
  <si>
    <t>Robert S. Hein</t>
  </si>
  <si>
    <t>mopedc@gmail.com</t>
  </si>
  <si>
    <t>+1 304-610-3937</t>
  </si>
  <si>
    <t>Adapter B - Single</t>
    <phoneticPr fontId="1" type="noConversion"/>
  </si>
  <si>
    <t>samiam55</t>
  </si>
  <si>
    <t>phyllis ripple</t>
  </si>
  <si>
    <t>samueliam@aol.com</t>
  </si>
  <si>
    <t>+1 917-359-8990</t>
  </si>
  <si>
    <t>rebkin87</t>
  </si>
  <si>
    <t>Rebecca Kinnie</t>
  </si>
  <si>
    <t>rebecca.z.collins@gmail.com</t>
  </si>
  <si>
    <t>+1 303-881-9698</t>
  </si>
  <si>
    <t>Debra Carr</t>
  </si>
  <si>
    <t>carrmdl@hawaiiantel.net</t>
  </si>
  <si>
    <t>+1 808-337-9424</t>
  </si>
  <si>
    <t>ozbrngrn</t>
  </si>
  <si>
    <t>sheena hardman</t>
  </si>
  <si>
    <t>stallard2b@yahoo.com</t>
  </si>
  <si>
    <t>+1 916-370-5131</t>
  </si>
  <si>
    <t>Natural Bamboo</t>
    <phoneticPr fontId="1" type="noConversion"/>
  </si>
  <si>
    <t>perrygeorge-2009</t>
  </si>
  <si>
    <t>Perry George</t>
  </si>
  <si>
    <t>acsperry@sbcglobal.net</t>
  </si>
  <si>
    <t>+1 785-822-7504</t>
  </si>
  <si>
    <t>111-6404962-2958614</t>
  </si>
  <si>
    <t>#TC1033</t>
  </si>
  <si>
    <t>Zoro No Stock</t>
    <phoneticPr fontId="1" type="noConversion"/>
  </si>
  <si>
    <t>Jaime Camacho</t>
  </si>
  <si>
    <t>jcpyro@yahoo.com</t>
  </si>
  <si>
    <t>+1 787-608-0225</t>
  </si>
  <si>
    <t>111-1574702-1903465</t>
  </si>
  <si>
    <t>maritzcru_12 ---------- PR</t>
    <phoneticPr fontId="1" type="noConversion"/>
  </si>
  <si>
    <t>111-4843440-0670659</t>
  </si>
  <si>
    <t>Jul17-Aug03</t>
    <phoneticPr fontId="1" type="noConversion"/>
  </si>
  <si>
    <t>111-5609838-0989823</t>
  </si>
  <si>
    <t>Alyssa Miyasato</t>
  </si>
  <si>
    <t>alyssamiy@gmail.com</t>
  </si>
  <si>
    <t>+1 808-226-1296</t>
  </si>
  <si>
    <t>56QT</t>
    <phoneticPr fontId="1" type="noConversion"/>
  </si>
  <si>
    <t>111-1272615-5137063</t>
  </si>
  <si>
    <t>111-0629452-4289063</t>
  </si>
  <si>
    <t>1Z9YF2210113094094</t>
  </si>
  <si>
    <t xml:space="preserve">TBA087811075301 </t>
  </si>
  <si>
    <t>SO17705274</t>
  </si>
  <si>
    <t>9400116901586704020041</t>
    <phoneticPr fontId="1" type="noConversion"/>
  </si>
  <si>
    <t>albercampbel71</t>
  </si>
  <si>
    <t>albert campbell</t>
  </si>
  <si>
    <t>acleecampbell69@gmail.com</t>
  </si>
  <si>
    <t>+1 904-365-1789</t>
  </si>
  <si>
    <t>9400116901586704028955</t>
    <phoneticPr fontId="1" type="noConversion"/>
  </si>
  <si>
    <t>Jul20 -- Jul18</t>
    <phoneticPr fontId="1" type="noConversion"/>
  </si>
  <si>
    <t>9400116901586704028900</t>
    <phoneticPr fontId="1" type="noConversion"/>
  </si>
  <si>
    <t>Jul15 -Jul17</t>
    <phoneticPr fontId="1" type="noConversion"/>
  </si>
  <si>
    <t>Intex 10747+10722</t>
    <phoneticPr fontId="1" type="noConversion"/>
  </si>
  <si>
    <t>dining1_52</t>
  </si>
  <si>
    <t>Robert Petro</t>
  </si>
  <si>
    <t>dining123forall@yahoo.com</t>
  </si>
  <si>
    <t>+1 203-558-2757</t>
  </si>
  <si>
    <t>Intex 10747+25009</t>
    <phoneticPr fontId="1" type="noConversion"/>
  </si>
  <si>
    <t>9361289706090982334207</t>
    <phoneticPr fontId="1" type="noConversion"/>
  </si>
  <si>
    <t>1Z8FY8241305292918</t>
  </si>
  <si>
    <t>Jul14 del</t>
    <phoneticPr fontId="1" type="noConversion"/>
  </si>
  <si>
    <t>Curtain - Virgin Mary</t>
    <phoneticPr fontId="1" type="noConversion"/>
  </si>
  <si>
    <t>TAC Curtain - Flamingo</t>
    <phoneticPr fontId="1" type="noConversion"/>
  </si>
  <si>
    <t>bbyprincesa1</t>
  </si>
  <si>
    <t>Vany Stuart</t>
  </si>
  <si>
    <t>111-0282867-7941808</t>
  </si>
  <si>
    <t>Jul24-28</t>
    <phoneticPr fontId="1" type="noConversion"/>
  </si>
  <si>
    <t>h33y57</t>
  </si>
  <si>
    <t>KJ KUNTZ</t>
  </si>
  <si>
    <t>h33yyjo3@gmail.com</t>
  </si>
  <si>
    <t>+1 727-200-2264</t>
  </si>
  <si>
    <t>vcubas2004@yahoo.com</t>
  </si>
  <si>
    <t>+1 703-928-2913</t>
  </si>
  <si>
    <t>Flamingo</t>
    <phoneticPr fontId="1" type="noConversion"/>
  </si>
  <si>
    <t>acjnc12</t>
  </si>
  <si>
    <t>acjnc@yahoo.com</t>
  </si>
  <si>
    <t>+1 773-896-8029</t>
  </si>
  <si>
    <t>bi.dog1982</t>
  </si>
  <si>
    <t>Jaris Moran</t>
  </si>
  <si>
    <t>jarismoran1982@gmail.com</t>
  </si>
  <si>
    <t>+1 516-784-3353</t>
  </si>
  <si>
    <t>lamb8586_2</t>
  </si>
  <si>
    <t>mark jones</t>
  </si>
  <si>
    <t>lamb8586@gmail.com</t>
  </si>
  <si>
    <t>+1 267-408-5277</t>
  </si>
  <si>
    <t>Jul23-24</t>
    <phoneticPr fontId="1" type="noConversion"/>
  </si>
  <si>
    <t>111-8945349-4711414</t>
  </si>
  <si>
    <t>111-8561897-1575465</t>
  </si>
  <si>
    <t>Jul18</t>
    <phoneticPr fontId="1" type="noConversion"/>
  </si>
  <si>
    <t>1Z546Y730305341124</t>
    <phoneticPr fontId="1" type="noConversion"/>
  </si>
  <si>
    <t xml:space="preserve">9374889707091006237264
</t>
    <phoneticPr fontId="1" type="noConversion"/>
  </si>
  <si>
    <t>9374889686090478194837</t>
    <phoneticPr fontId="1" type="noConversion"/>
  </si>
  <si>
    <t>9405511899223271498234</t>
    <phoneticPr fontId="1" type="noConversion"/>
  </si>
  <si>
    <t>Jul15 Del</t>
    <phoneticPr fontId="1" type="noConversion"/>
  </si>
  <si>
    <t>GAME 4550 Adapter</t>
    <phoneticPr fontId="1" type="noConversion"/>
  </si>
  <si>
    <t>koluwole@msn.com</t>
  </si>
  <si>
    <t>+1 617-699-5568</t>
  </si>
  <si>
    <t>10747 X 2</t>
    <phoneticPr fontId="1" type="noConversion"/>
  </si>
  <si>
    <t>Intex 10747 X 2</t>
    <phoneticPr fontId="1" type="noConversion"/>
  </si>
  <si>
    <t>kelvin508</t>
  </si>
  <si>
    <t>Kelvin Oluwole</t>
  </si>
  <si>
    <t>msk032010</t>
  </si>
  <si>
    <t>Mahendra S Khusial</t>
  </si>
  <si>
    <t>mahendra03@msn.com</t>
  </si>
  <si>
    <t>+1 917-349-3688</t>
  </si>
  <si>
    <t>nlimb-7</t>
  </si>
  <si>
    <t>Kay Bridwell</t>
  </si>
  <si>
    <t>nlimbo2000@yahoo.com</t>
  </si>
  <si>
    <t>+1 765-516-5516</t>
  </si>
  <si>
    <t>komasweddingflowers</t>
  </si>
  <si>
    <t>koma</t>
  </si>
  <si>
    <t>komasands@yahoo.com</t>
  </si>
  <si>
    <t>+1 386-249-5439</t>
  </si>
  <si>
    <t>queen198721</t>
  </si>
  <si>
    <t>Sarah LeMaire</t>
  </si>
  <si>
    <t>rebelflagprincess@yahoo.com</t>
  </si>
  <si>
    <t>+1 337-893-7377</t>
  </si>
  <si>
    <t>Fillable 20 lb</t>
    <phoneticPr fontId="1" type="noConversion"/>
  </si>
  <si>
    <t>isbvaug</t>
  </si>
  <si>
    <t>Henry Vaughn</t>
  </si>
  <si>
    <t>isbvaug@hotmail.com</t>
  </si>
  <si>
    <t>+1 617-337-6565</t>
  </si>
  <si>
    <t>4550 Adapter</t>
    <phoneticPr fontId="1" type="noConversion"/>
  </si>
  <si>
    <t>m.frankel2</t>
  </si>
  <si>
    <t>Michael Frankel</t>
  </si>
  <si>
    <t>wrsprelude2@mac.com</t>
  </si>
  <si>
    <t>+1 207-838-7210</t>
  </si>
  <si>
    <t>carinalynnc@yahoo.com</t>
  </si>
  <si>
    <t>+1 541-285-3809</t>
  </si>
  <si>
    <t>Carina Hallock</t>
  </si>
  <si>
    <t>carin-hallo ----- Cancelled</t>
    <phoneticPr fontId="1" type="noConversion"/>
  </si>
  <si>
    <t>9405509205568719473843</t>
    <phoneticPr fontId="1" type="noConversion"/>
  </si>
  <si>
    <t>9405509205568719473881</t>
    <phoneticPr fontId="1" type="noConversion"/>
  </si>
  <si>
    <t>inyoPools no stock</t>
    <phoneticPr fontId="1" type="noConversion"/>
  </si>
  <si>
    <t>9374889724009257060576</t>
    <phoneticPr fontId="1" type="noConversion"/>
  </si>
  <si>
    <t>Exp Jul06 Shipped Jun28 Del Jul04</t>
    <phoneticPr fontId="1" type="noConversion"/>
  </si>
  <si>
    <t>Keep checking update /Jul16</t>
    <phoneticPr fontId="1" type="noConversion"/>
  </si>
  <si>
    <t>Jul11 Del</t>
    <phoneticPr fontId="1" type="noConversion"/>
  </si>
  <si>
    <t>Jul22</t>
    <phoneticPr fontId="1" type="noConversion"/>
  </si>
  <si>
    <t>111-7182369-1208218</t>
  </si>
  <si>
    <t>111-1667235-0304235</t>
  </si>
  <si>
    <t>Jul27-29</t>
    <phoneticPr fontId="1" type="noConversion"/>
  </si>
  <si>
    <t>#TC1036</t>
  </si>
  <si>
    <t>Intex 25006 O Ring</t>
    <phoneticPr fontId="1" type="noConversion"/>
  </si>
  <si>
    <t>elwood117</t>
  </si>
  <si>
    <t>ELIZABETH WOODFORD</t>
  </si>
  <si>
    <t>elwood9995@aol.com</t>
  </si>
  <si>
    <t>+1 864-590-6380</t>
  </si>
  <si>
    <t>111-3585491-4862622</t>
  </si>
  <si>
    <t>April Grady</t>
  </si>
  <si>
    <t>aprilbringssunshine18@gmail.com</t>
  </si>
  <si>
    <t>+1 828-347-2836</t>
  </si>
  <si>
    <t>25006 O Ring</t>
    <phoneticPr fontId="1" type="noConversion"/>
  </si>
  <si>
    <t>111-6524722-7671458</t>
  </si>
  <si>
    <t>25 Model 50 pcs</t>
    <phoneticPr fontId="1" type="noConversion"/>
  </si>
  <si>
    <t>Jul17-18- 18-19</t>
    <phoneticPr fontId="1" type="noConversion"/>
  </si>
  <si>
    <t>micchiric3</t>
  </si>
  <si>
    <t>Michele Chirichiello</t>
  </si>
  <si>
    <t>mcineck@hotmail.com</t>
  </si>
  <si>
    <t>+1 908-868-4816</t>
  </si>
  <si>
    <t>millerwe64@gmail.com</t>
  </si>
  <si>
    <t>+1 3915606237</t>
    <phoneticPr fontId="1" type="noConversion"/>
  </si>
  <si>
    <t>wymil-2223</t>
  </si>
  <si>
    <t>wyatt miller</t>
  </si>
  <si>
    <t>EDGAR REYES</t>
  </si>
  <si>
    <t>eggiera@gmail.com</t>
  </si>
  <si>
    <t>+1 787-974-2744</t>
  </si>
  <si>
    <t>racdur50</t>
  </si>
  <si>
    <t>Rachael Durski</t>
  </si>
  <si>
    <t>rdurs95@aol.com</t>
  </si>
  <si>
    <t>+1 716-713-1880</t>
  </si>
  <si>
    <t>howaryi_0</t>
  </si>
  <si>
    <t>howard yim</t>
  </si>
  <si>
    <t>17-05408-74587</t>
  </si>
  <si>
    <t>id= bdmup</t>
    <phoneticPr fontId="1" type="noConversion"/>
  </si>
  <si>
    <t>Jul23</t>
    <phoneticPr fontId="1" type="noConversion"/>
  </si>
  <si>
    <t>8016974506537564</t>
    <phoneticPr fontId="1" type="noConversion"/>
  </si>
  <si>
    <t>ryansmcornell</t>
  </si>
  <si>
    <t>Ryan Cornell</t>
  </si>
  <si>
    <t>ryan@ryancornell.com</t>
  </si>
  <si>
    <t>+1 203-247-0718</t>
  </si>
  <si>
    <t>114-9247133-0502608</t>
  </si>
  <si>
    <t>Jul19</t>
    <phoneticPr fontId="1" type="noConversion"/>
  </si>
  <si>
    <t>deca-1637  --------------- Hawaii</t>
    <phoneticPr fontId="1" type="noConversion"/>
  </si>
  <si>
    <t>114-1721407-7757005</t>
  </si>
  <si>
    <t>NOT YET</t>
    <phoneticPr fontId="1" type="noConversion"/>
  </si>
  <si>
    <t>114-6932332-2845800</t>
  </si>
  <si>
    <t>9374889727009056336893</t>
    <phoneticPr fontId="1" type="noConversion"/>
  </si>
  <si>
    <t>USPS</t>
    <phoneticPr fontId="1" type="noConversion"/>
  </si>
  <si>
    <t>9405508205497019761875</t>
    <phoneticPr fontId="1" type="noConversion"/>
  </si>
  <si>
    <t>TAC Curtain - Color Wave</t>
    <phoneticPr fontId="1" type="noConversion"/>
  </si>
  <si>
    <t>jepul86</t>
  </si>
  <si>
    <t>Jesse Pullen</t>
  </si>
  <si>
    <t>jessepullen1969@gmail.com</t>
  </si>
  <si>
    <t>+1 702-742-4677</t>
  </si>
  <si>
    <t>TAC</t>
    <phoneticPr fontId="1" type="noConversion"/>
  </si>
  <si>
    <t>114-8132398-7365808</t>
  </si>
  <si>
    <t>Jul27</t>
    <phoneticPr fontId="1" type="noConversion"/>
  </si>
  <si>
    <t>Hawaii</t>
    <phoneticPr fontId="1" type="noConversion"/>
  </si>
  <si>
    <t>SO17767948</t>
  </si>
  <si>
    <t xml:space="preserve"> </t>
    <phoneticPr fontId="1" type="noConversion"/>
  </si>
  <si>
    <t>SO17768241</t>
  </si>
  <si>
    <t>SO17768381</t>
  </si>
  <si>
    <t>9405511899223214741632</t>
    <phoneticPr fontId="1" type="noConversion"/>
  </si>
  <si>
    <t>9405511899223214741670</t>
    <phoneticPr fontId="1" type="noConversion"/>
  </si>
  <si>
    <t>Plano Tote 108 QT -- Black</t>
    <phoneticPr fontId="1" type="noConversion"/>
  </si>
  <si>
    <t>geracjusti</t>
  </si>
  <si>
    <t>Justin Geraci</t>
  </si>
  <si>
    <t>justin.geraci.jg@gmail.com</t>
  </si>
  <si>
    <t>+1 774-209-0791</t>
  </si>
  <si>
    <t>108 QT</t>
    <phoneticPr fontId="1" type="noConversion"/>
  </si>
  <si>
    <t>Amazon</t>
    <phoneticPr fontId="1" type="noConversion"/>
  </si>
  <si>
    <t>justin_a_lange</t>
  </si>
  <si>
    <t>Justin Lange</t>
  </si>
  <si>
    <t>justin_lange@live.com</t>
  </si>
  <si>
    <t>+1 219-840-1982</t>
  </si>
  <si>
    <t>chyanne91683</t>
  </si>
  <si>
    <t>charles redd</t>
  </si>
  <si>
    <t>chyanne91683@yahoo.com</t>
  </si>
  <si>
    <t>+1 573-205-1945</t>
  </si>
  <si>
    <t>Fillable 20 lb</t>
    <phoneticPr fontId="1" type="noConversion"/>
  </si>
  <si>
    <t>Intex Parts O Ring  Full Set</t>
    <phoneticPr fontId="1" type="noConversion"/>
  </si>
  <si>
    <t>hschroeder007@yahoo.com</t>
  </si>
  <si>
    <t>+1 512-569-1771</t>
  </si>
  <si>
    <t>O Ring Air Release V</t>
    <phoneticPr fontId="1" type="noConversion"/>
  </si>
  <si>
    <t>els48</t>
  </si>
  <si>
    <t>Paula Hoffman</t>
  </si>
  <si>
    <t>ellenbettinazzi@comcast.net</t>
  </si>
  <si>
    <t>+1 304-639-6113</t>
  </si>
  <si>
    <t>Adapter A</t>
    <phoneticPr fontId="1" type="noConversion"/>
  </si>
  <si>
    <t>Adapter B</t>
    <phoneticPr fontId="1" type="noConversion"/>
  </si>
  <si>
    <t>114-0067129-5102626</t>
  </si>
  <si>
    <t>114-8602006-3589804</t>
  </si>
  <si>
    <t>114-7077184-9528263</t>
  </si>
  <si>
    <t>114-1030966-8411413</t>
  </si>
  <si>
    <t>tangx_hxsuw0f2e</t>
  </si>
  <si>
    <t>Plano Tote 108 QT -- Green</t>
    <phoneticPr fontId="1" type="noConversion"/>
  </si>
  <si>
    <t>Adam Talorda</t>
  </si>
  <si>
    <t>ngxbeast@gmail.com</t>
  </si>
  <si>
    <t>+1 631-624-1402</t>
  </si>
  <si>
    <t>108 QT Green</t>
    <phoneticPr fontId="1" type="noConversion"/>
  </si>
  <si>
    <t>114-4761342-3757005</t>
  </si>
  <si>
    <t>Jul23</t>
    <phoneticPr fontId="1" type="noConversion"/>
  </si>
  <si>
    <t>Jul25</t>
    <phoneticPr fontId="1" type="noConversion"/>
  </si>
  <si>
    <t>US Weight 30 lb</t>
    <phoneticPr fontId="1" type="noConversion"/>
  </si>
  <si>
    <t>jobl_1444 ------- Refunded</t>
    <phoneticPr fontId="1" type="noConversion"/>
  </si>
  <si>
    <t>Intex Adapter B -- Single</t>
    <phoneticPr fontId="1" type="noConversion"/>
  </si>
  <si>
    <t>Jul19 Del</t>
    <phoneticPr fontId="1" type="noConversion"/>
  </si>
  <si>
    <t>9361289725009236732824</t>
    <phoneticPr fontId="1" type="noConversion"/>
  </si>
  <si>
    <t>sellingoffmyshoes -- Hawaii Can</t>
    <phoneticPr fontId="1" type="noConversion"/>
  </si>
  <si>
    <t>O Ring Full Set</t>
    <phoneticPr fontId="1" type="noConversion"/>
  </si>
  <si>
    <t>114-6635158-6373831</t>
  </si>
  <si>
    <t>Jul20</t>
    <phoneticPr fontId="1" type="noConversion"/>
  </si>
  <si>
    <t>Jul17 Del</t>
    <phoneticPr fontId="1" type="noConversion"/>
  </si>
  <si>
    <t>TBA091758725301</t>
  </si>
  <si>
    <t>AL</t>
    <phoneticPr fontId="1" type="noConversion"/>
  </si>
  <si>
    <t>1Z4450W50268318297</t>
  </si>
  <si>
    <t>UPS</t>
    <phoneticPr fontId="1" type="noConversion"/>
  </si>
  <si>
    <t>shrek09raul ------------------- PR</t>
    <phoneticPr fontId="1" type="noConversion"/>
  </si>
  <si>
    <t>1Z4450W50268325332</t>
  </si>
  <si>
    <t>Abeaded Refund now item with buyer</t>
    <phoneticPr fontId="1" type="noConversion"/>
  </si>
  <si>
    <t>Jandy Cover Flapper</t>
    <phoneticPr fontId="1" type="noConversion"/>
  </si>
  <si>
    <t>Curtain - Mona Lisa</t>
    <phoneticPr fontId="1" type="noConversion"/>
  </si>
  <si>
    <t>Index Adapter B</t>
    <phoneticPr fontId="1" type="noConversion"/>
  </si>
  <si>
    <t>eilkra_28</t>
  </si>
  <si>
    <t>Eileen Kraeger</t>
  </si>
  <si>
    <t>ekraeger234@yahoo.com</t>
  </si>
  <si>
    <t>+1 315-736-5118</t>
  </si>
  <si>
    <t>raymonlewi-88</t>
  </si>
  <si>
    <t>Raymond Lewis</t>
  </si>
  <si>
    <t>raylewisjr1950@yahoo.com</t>
  </si>
  <si>
    <t>+1 765-210-6060</t>
  </si>
  <si>
    <t>Adapter B - Single</t>
    <phoneticPr fontId="1" type="noConversion"/>
  </si>
  <si>
    <t>tipt_bo</t>
  </si>
  <si>
    <t>bob Tipton</t>
  </si>
  <si>
    <t>thundercon01@yahoo.com</t>
  </si>
  <si>
    <t>+1 217-433-9298</t>
  </si>
  <si>
    <t>chrihern8536</t>
  </si>
  <si>
    <t>Christina Hernandez</t>
  </si>
  <si>
    <t>chriss.h77@gmail.com</t>
  </si>
  <si>
    <t>+1 562-505-0781</t>
  </si>
  <si>
    <t>Check Valve Flapper</t>
    <phoneticPr fontId="1" type="noConversion"/>
  </si>
  <si>
    <t>charleshuitt</t>
  </si>
  <si>
    <t>Charles Huitt</t>
  </si>
  <si>
    <t>charleschuitt@gmail.com</t>
  </si>
  <si>
    <t>+1 214-690-5754</t>
  </si>
  <si>
    <t>cheyennbattso0</t>
  </si>
  <si>
    <t>Dialed Baits</t>
  </si>
  <si>
    <t>cheyennelefty@hotmail.com</t>
  </si>
  <si>
    <t>+1 817-992-4409</t>
  </si>
  <si>
    <t>Mona Lisa</t>
    <phoneticPr fontId="1" type="noConversion"/>
  </si>
  <si>
    <t>Index Adapter A</t>
    <phoneticPr fontId="1" type="noConversion"/>
  </si>
  <si>
    <t>68 QT</t>
    <phoneticPr fontId="1" type="noConversion"/>
  </si>
  <si>
    <t>crystock_0</t>
  </si>
  <si>
    <t>crystal stockbridge</t>
  </si>
  <si>
    <t>crystallynnrose@gmail.com</t>
  </si>
  <si>
    <t>+1 207-412-2164</t>
  </si>
  <si>
    <t>cjdcjd</t>
  </si>
  <si>
    <t>charles dolman</t>
  </si>
  <si>
    <t>charliedolmanusa@gmail.com</t>
  </si>
  <si>
    <t>+1 415-622-7821</t>
  </si>
  <si>
    <t>aluca712</t>
  </si>
  <si>
    <t>Anthony Lucanto</t>
  </si>
  <si>
    <t>alucanto1@gmail.com</t>
  </si>
  <si>
    <t>+1 973-703-9659</t>
  </si>
  <si>
    <t>granfran12</t>
  </si>
  <si>
    <t>Grantiss Franklin</t>
  </si>
  <si>
    <t>grantuhe65@outlook.co</t>
  </si>
  <si>
    <t>+1 515-441-5504</t>
  </si>
  <si>
    <t>9374889690090839832876</t>
    <phoneticPr fontId="1" type="noConversion"/>
  </si>
  <si>
    <t>9361289689090519324545</t>
    <phoneticPr fontId="1" type="noConversion"/>
  </si>
  <si>
    <t>TBA092585026801</t>
  </si>
  <si>
    <t>9374889695090609928087</t>
    <phoneticPr fontId="1" type="noConversion"/>
  </si>
  <si>
    <t>9361289690090865648483</t>
    <phoneticPr fontId="1" type="noConversion"/>
  </si>
  <si>
    <t>TBA093139481801</t>
  </si>
  <si>
    <t>1Z30482W1396867137</t>
    <phoneticPr fontId="1" type="noConversion"/>
  </si>
  <si>
    <t>1Z8Y8Y820205179368</t>
  </si>
  <si>
    <t>menjiva4306</t>
    <phoneticPr fontId="1" type="noConversion"/>
  </si>
  <si>
    <t>114-5662996-9459466</t>
    <phoneticPr fontId="1" type="noConversion"/>
  </si>
  <si>
    <t>Jul22</t>
    <phoneticPr fontId="1" type="noConversion"/>
  </si>
  <si>
    <t>114-1236195-0153052</t>
  </si>
  <si>
    <t>Jul21</t>
    <phoneticPr fontId="1" type="noConversion"/>
  </si>
  <si>
    <t>Intex 25022E Strainer Jet</t>
    <phoneticPr fontId="1" type="noConversion"/>
  </si>
  <si>
    <t>Intex Hose n Adapter</t>
    <phoneticPr fontId="1" type="noConversion"/>
  </si>
  <si>
    <t>lvmyl35</t>
  </si>
  <si>
    <t>Colleen Dibble</t>
  </si>
  <si>
    <t>lvmylatte4@msn.com</t>
  </si>
  <si>
    <t>+1 941-705-0235</t>
  </si>
  <si>
    <t>goodintentions01</t>
  </si>
  <si>
    <t>Joe Gerlach</t>
  </si>
  <si>
    <t>jjgoodintentions@gmail.com</t>
  </si>
  <si>
    <t>+1 651-260-5683</t>
  </si>
  <si>
    <t>motomom600</t>
  </si>
  <si>
    <t>Kristina Osborne</t>
  </si>
  <si>
    <t>kristinaosborne44@gmail.com</t>
  </si>
  <si>
    <t>+1 740-542-2559</t>
  </si>
  <si>
    <t>#TC1038</t>
  </si>
  <si>
    <t>#TC1034</t>
    <phoneticPr fontId="1" type="noConversion"/>
  </si>
  <si>
    <t>9405509205568722558773</t>
    <phoneticPr fontId="1" type="noConversion"/>
  </si>
  <si>
    <t>9405509205568722558735</t>
    <phoneticPr fontId="1" type="noConversion"/>
  </si>
  <si>
    <t>#TC1037</t>
    <phoneticPr fontId="1" type="noConversion"/>
  </si>
  <si>
    <t>SO17789946</t>
  </si>
  <si>
    <t>SO17790106</t>
  </si>
  <si>
    <t>114-5645237-5909826</t>
  </si>
  <si>
    <t>eggie-2008 --------------- PR</t>
    <phoneticPr fontId="1" type="noConversion"/>
  </si>
  <si>
    <t>9274890238403703452550</t>
    <phoneticPr fontId="1" type="noConversion"/>
  </si>
  <si>
    <t>gascotcons1</t>
  </si>
  <si>
    <t>Rafael Gascot</t>
  </si>
  <si>
    <t>rafael@gascotconstruction.com</t>
  </si>
  <si>
    <t>+1 786-913-1700</t>
  </si>
  <si>
    <t>6940zink</t>
  </si>
  <si>
    <t>Jamie Zink</t>
  </si>
  <si>
    <t>zink6940@yahoo.com</t>
  </si>
  <si>
    <t>+1 317-840-5503</t>
  </si>
  <si>
    <t>Intex 26004 Plunger</t>
    <phoneticPr fontId="1" type="noConversion"/>
  </si>
  <si>
    <t>Angel Berdecia Dominguez</t>
  </si>
  <si>
    <t>Index Adapter B ------- Single</t>
    <phoneticPr fontId="1" type="noConversion"/>
  </si>
  <si>
    <t>ajoelberdecia@gmail.com</t>
  </si>
  <si>
    <t>+1 939-438-4204</t>
  </si>
  <si>
    <t>chieturne-0</t>
  </si>
  <si>
    <t>chief turner</t>
  </si>
  <si>
    <t>harrschroedee_0</t>
  </si>
  <si>
    <t>Harry schroedeer</t>
  </si>
  <si>
    <t>chief.turner@unitcorp.com</t>
  </si>
  <si>
    <t>+1 405-320-8464</t>
  </si>
  <si>
    <t>Plano Tote 56 QT -- Black</t>
    <phoneticPr fontId="1" type="noConversion"/>
  </si>
  <si>
    <t>angeberdeciadomingue_0 -- PR</t>
    <phoneticPr fontId="1" type="noConversion"/>
  </si>
  <si>
    <t>jicujcu.8dqjssbxxz</t>
  </si>
  <si>
    <t>Jim Cutsforth</t>
  </si>
  <si>
    <t>jcutsforth1964@yahoo.com</t>
  </si>
  <si>
    <t>+1 920-763-2611</t>
  </si>
  <si>
    <t>56QT</t>
    <phoneticPr fontId="1" type="noConversion"/>
  </si>
  <si>
    <t>qty</t>
    <phoneticPr fontId="1" type="noConversion"/>
  </si>
  <si>
    <t>AE</t>
    <phoneticPr fontId="1" type="noConversion"/>
  </si>
  <si>
    <t>114-8405983-2967433</t>
  </si>
  <si>
    <t>Jul24</t>
    <phoneticPr fontId="1" type="noConversion"/>
  </si>
  <si>
    <t>114-2048734-1034625</t>
  </si>
  <si>
    <t>114-7216388-6016217</t>
  </si>
  <si>
    <t>SO17795902</t>
  </si>
  <si>
    <t>#TC1039</t>
  </si>
  <si>
    <t>#TC1040</t>
  </si>
  <si>
    <t>114-0002073-1924225</t>
  </si>
  <si>
    <t>ID=costumeish</t>
    <phoneticPr fontId="1" type="noConversion"/>
  </si>
  <si>
    <t>TBA093127413201</t>
  </si>
  <si>
    <t>TBA093648104601</t>
  </si>
  <si>
    <t>1Z8764X10330692066</t>
  </si>
  <si>
    <t>9200190213424724102924</t>
    <phoneticPr fontId="1" type="noConversion"/>
  </si>
  <si>
    <t>9374889683090562814682</t>
    <phoneticPr fontId="1" type="noConversion"/>
  </si>
  <si>
    <t>Dusty Thomas</t>
  </si>
  <si>
    <t>Intex 26004E Strainer Jet</t>
    <phoneticPr fontId="1" type="noConversion"/>
  </si>
  <si>
    <t>dusty.thomas@email.com</t>
  </si>
  <si>
    <t>+1 808-333-4806</t>
  </si>
  <si>
    <t>Emily Janvey</t>
    <phoneticPr fontId="1" type="noConversion"/>
  </si>
  <si>
    <t>114-1944280-9021045</t>
  </si>
  <si>
    <t>1Z82AY190302658243</t>
  </si>
  <si>
    <t>114-0791869-0936258</t>
  </si>
  <si>
    <t>Jul23-Aug08</t>
    <phoneticPr fontId="1" type="noConversion"/>
  </si>
  <si>
    <t>Plano Tote 108 QT -- Gray</t>
    <phoneticPr fontId="1" type="noConversion"/>
  </si>
  <si>
    <t>rich650302</t>
  </si>
  <si>
    <t>Glenn Richardson</t>
  </si>
  <si>
    <t>rich1965mail@yahoo.com</t>
  </si>
  <si>
    <t>+1 704-960-4038</t>
  </si>
  <si>
    <t>108 QT Grey</t>
    <phoneticPr fontId="1" type="noConversion"/>
  </si>
  <si>
    <t>114-8334364-8741061</t>
  </si>
  <si>
    <t>AbeadedCurtain</t>
    <phoneticPr fontId="1" type="noConversion"/>
  </si>
  <si>
    <t>Karen Nelson</t>
  </si>
  <si>
    <t>kanel5604</t>
  </si>
  <si>
    <t>hellonelson@mac.com</t>
  </si>
  <si>
    <t>+1 847-414-8081</t>
  </si>
  <si>
    <t>Curtain - Fortune</t>
    <phoneticPr fontId="1" type="noConversion"/>
  </si>
  <si>
    <t>Fortune</t>
    <phoneticPr fontId="1" type="noConversion"/>
  </si>
  <si>
    <t>AbeadedCurtain</t>
    <phoneticPr fontId="1" type="noConversion"/>
  </si>
  <si>
    <t>Seasonwide</t>
    <phoneticPr fontId="1" type="noConversion"/>
  </si>
  <si>
    <t>Intex Parts O Ring Full Set</t>
    <phoneticPr fontId="1" type="noConversion"/>
  </si>
  <si>
    <t>town785</t>
  </si>
  <si>
    <t>Pat Townsend</t>
  </si>
  <si>
    <t>pmtown@st-tel.net</t>
  </si>
  <si>
    <t>+1 785-899-5033</t>
  </si>
  <si>
    <t>mikepellicano</t>
  </si>
  <si>
    <t>Michael Pellicano</t>
  </si>
  <si>
    <t>mpellicano@live.com</t>
  </si>
  <si>
    <t>+1 601-720-5747</t>
  </si>
  <si>
    <t>johstoll_0</t>
  </si>
  <si>
    <t>John Stolle</t>
  </si>
  <si>
    <t>jbstolle@sbcglobal.net</t>
  </si>
  <si>
    <t>+1 317-417-7088</t>
  </si>
  <si>
    <t>#TC1041</t>
  </si>
  <si>
    <t>#TC1042</t>
  </si>
  <si>
    <t>1Z5937E30345676486</t>
  </si>
  <si>
    <t>Jull23</t>
    <phoneticPr fontId="1" type="noConversion"/>
  </si>
  <si>
    <t>1Z5937E30344680473</t>
  </si>
  <si>
    <t>1Z5937E30343993995</t>
  </si>
  <si>
    <t>Jul20 Del</t>
    <phoneticPr fontId="1" type="noConversion"/>
  </si>
  <si>
    <t>1Z5937E30343862671</t>
  </si>
  <si>
    <t>1Z5937E30344172245</t>
  </si>
  <si>
    <t>1Z5937E30344690686</t>
  </si>
  <si>
    <t>********* not trk ordered Jul14</t>
    <phoneticPr fontId="1" type="noConversion"/>
  </si>
  <si>
    <t>114-9289584-5899461</t>
  </si>
  <si>
    <t>114-4041886-1662661</t>
  </si>
  <si>
    <t>114-2639371-9320210</t>
  </si>
  <si>
    <t>114-0265562-0481046</t>
  </si>
  <si>
    <t>114-2897085-3295420</t>
  </si>
  <si>
    <t>deb-9319</t>
  </si>
  <si>
    <t>grant farley</t>
  </si>
  <si>
    <t>deblf59@hotmail.com</t>
  </si>
  <si>
    <t>+1 919-356-3631</t>
  </si>
  <si>
    <t>edmo-da</t>
  </si>
  <si>
    <t>Dan Edmondson</t>
  </si>
  <si>
    <t>dan022362@aol.com</t>
  </si>
  <si>
    <t>+1 931-721-3365</t>
  </si>
  <si>
    <t>jwfoltz</t>
  </si>
  <si>
    <t>Jeff Foltz</t>
  </si>
  <si>
    <t>GAME 4560 Hose Adapter</t>
    <phoneticPr fontId="1" type="noConversion"/>
  </si>
  <si>
    <t>4560 Adapter</t>
    <phoneticPr fontId="1" type="noConversion"/>
  </si>
  <si>
    <t>GAME</t>
    <phoneticPr fontId="1" type="noConversion"/>
  </si>
  <si>
    <t>jwfoltz@clemson.edu</t>
  </si>
  <si>
    <t>+1 864-434-4474</t>
  </si>
  <si>
    <t>114-7184714-9364235</t>
  </si>
  <si>
    <t>Jul28</t>
    <phoneticPr fontId="1" type="noConversion"/>
  </si>
  <si>
    <t>ersu-9737</t>
  </si>
  <si>
    <t>Erik Sunde</t>
  </si>
  <si>
    <t>vcubas2004@yahoo.com</t>
    <phoneticPr fontId="1" type="noConversion"/>
  </si>
  <si>
    <t>+1 832-433-3243</t>
  </si>
  <si>
    <t>usjona.clzkcet</t>
  </si>
  <si>
    <t>JONATHAN WHITE</t>
  </si>
  <si>
    <t>Curtain - Bamboo Stalk</t>
    <phoneticPr fontId="1" type="noConversion"/>
  </si>
  <si>
    <t>hugeblueheron1955@gmail.com</t>
  </si>
  <si>
    <t>+1 518-312-1330</t>
  </si>
  <si>
    <t>Bamboo Stalk</t>
    <phoneticPr fontId="1" type="noConversion"/>
  </si>
  <si>
    <t>Hugo Muñoz</t>
  </si>
  <si>
    <t>hugomunoz29@hotmail.com</t>
  </si>
  <si>
    <t>+1 505-385-8447</t>
  </si>
  <si>
    <t>Jul20 Del</t>
    <phoneticPr fontId="1" type="noConversion"/>
  </si>
  <si>
    <t>Wait new delivery date Jul24-28</t>
    <phoneticPr fontId="1" type="noConversion"/>
  </si>
  <si>
    <t>9405509205568712694788</t>
    <phoneticPr fontId="1" type="noConversion"/>
  </si>
  <si>
    <t>TBA094208708301</t>
  </si>
  <si>
    <t>AL</t>
    <phoneticPr fontId="1" type="noConversion"/>
  </si>
  <si>
    <t>Jul21 Del</t>
    <phoneticPr fontId="1" type="noConversion"/>
  </si>
  <si>
    <t>Del Attempt</t>
    <phoneticPr fontId="1" type="noConversion"/>
  </si>
  <si>
    <t>TBA096456471601</t>
  </si>
  <si>
    <t>1Z427YA4YN95859547</t>
  </si>
  <si>
    <t>1Z427YA4YN95860713</t>
  </si>
  <si>
    <t>ninoskhumphrey-0 ------------- PR</t>
    <phoneticPr fontId="1" type="noConversion"/>
  </si>
  <si>
    <t>UPS</t>
    <phoneticPr fontId="1" type="noConversion"/>
  </si>
  <si>
    <t>9205590213422843352254</t>
    <phoneticPr fontId="1" type="noConversion"/>
  </si>
  <si>
    <t>9405511899223235878140</t>
    <phoneticPr fontId="1" type="noConversion"/>
  </si>
  <si>
    <t>9405511899223235878362</t>
    <phoneticPr fontId="1" type="noConversion"/>
  </si>
  <si>
    <t>4207852092748927005455000023617330</t>
    <phoneticPr fontId="1" type="noConversion"/>
  </si>
  <si>
    <t>ASSh</t>
    <phoneticPr fontId="1" type="noConversion"/>
  </si>
  <si>
    <t xml:space="preserve">Since 2010 Store </t>
    <phoneticPr fontId="1" type="noConversion"/>
  </si>
  <si>
    <t>wilnav_0</t>
  </si>
  <si>
    <t>William Navarro</t>
  </si>
  <si>
    <t>navarrofam562@gmail.com</t>
  </si>
  <si>
    <t>+1 562-200-3756</t>
  </si>
  <si>
    <t>Intex 10747+25009</t>
    <phoneticPr fontId="1" type="noConversion"/>
  </si>
  <si>
    <t>masch6674</t>
  </si>
  <si>
    <t>Marc Schauer</t>
  </si>
  <si>
    <t>Bestway Adapter B</t>
    <phoneticPr fontId="1" type="noConversion"/>
  </si>
  <si>
    <t>schmarcer@gmail.com</t>
  </si>
  <si>
    <t>+1 970-729-1027</t>
  </si>
  <si>
    <t>To Cancel</t>
    <phoneticPr fontId="1" type="noConversion"/>
  </si>
  <si>
    <t>111-1330962-6327403</t>
  </si>
  <si>
    <t>Jul31-Aug04</t>
    <phoneticPr fontId="1" type="noConversion"/>
  </si>
  <si>
    <t>111-0584037-3661809</t>
  </si>
  <si>
    <t>boutilier777</t>
  </si>
  <si>
    <t>starlightchef@gmail.com</t>
  </si>
  <si>
    <t>+1 252-378-8818</t>
  </si>
  <si>
    <t>Virgin Mary</t>
    <phoneticPr fontId="1" type="noConversion"/>
  </si>
  <si>
    <t>Intex 29054E Pool Pole</t>
    <phoneticPr fontId="1" type="noConversion"/>
  </si>
  <si>
    <t>Intex Skimmer Hose Adaptor</t>
    <phoneticPr fontId="1" type="noConversion"/>
  </si>
  <si>
    <t>theniagirl9403</t>
  </si>
  <si>
    <t>Jothenia Horton</t>
  </si>
  <si>
    <t>jotheniahorton@yahoo.com</t>
  </si>
  <si>
    <t>+1 269-993-1092</t>
  </si>
  <si>
    <t>SK Hose Adapter</t>
    <phoneticPr fontId="1" type="noConversion"/>
  </si>
  <si>
    <t>Intex Pole</t>
    <phoneticPr fontId="1" type="noConversion"/>
  </si>
  <si>
    <t>Intex SK Adapter</t>
    <phoneticPr fontId="1" type="noConversion"/>
  </si>
  <si>
    <t>hookin-g-body</t>
  </si>
  <si>
    <t>harry sheppard jr</t>
  </si>
  <si>
    <t>malibuskinner@aol.com</t>
  </si>
  <si>
    <t>+1 856-462-4504</t>
  </si>
  <si>
    <t>Jul22 Del</t>
    <phoneticPr fontId="1" type="noConversion"/>
  </si>
  <si>
    <t>9361289685090812781711</t>
    <phoneticPr fontId="1" type="noConversion"/>
  </si>
  <si>
    <t>USPS</t>
    <phoneticPr fontId="1" type="noConversion"/>
  </si>
  <si>
    <t>9361289685090812672927</t>
    <phoneticPr fontId="1" type="noConversion"/>
  </si>
  <si>
    <t xml:space="preserve">395051905006
</t>
    <phoneticPr fontId="1" type="noConversion"/>
  </si>
  <si>
    <t>Fedex</t>
    <phoneticPr fontId="1" type="noConversion"/>
  </si>
  <si>
    <t>395058227532</t>
    <phoneticPr fontId="1" type="noConversion"/>
  </si>
  <si>
    <t>111-2422763-7685824</t>
  </si>
  <si>
    <t>Jul24</t>
    <phoneticPr fontId="1" type="noConversion"/>
  </si>
  <si>
    <t>111-6718457-9263408</t>
  </si>
  <si>
    <t>Jul25</t>
    <phoneticPr fontId="1" type="noConversion"/>
  </si>
  <si>
    <t>114-7112589-9057015</t>
  </si>
  <si>
    <t>Jul23</t>
    <phoneticPr fontId="1" type="noConversion"/>
  </si>
  <si>
    <t>9361289684091057325068</t>
    <phoneticPr fontId="1" type="noConversion"/>
  </si>
  <si>
    <t>111-6630155-5897027</t>
  </si>
  <si>
    <t>111-7663285-1465006</t>
  </si>
  <si>
    <t>111-6413275-5061035</t>
  </si>
  <si>
    <t>Jul29</t>
    <phoneticPr fontId="1" type="noConversion"/>
  </si>
  <si>
    <t>Intex T Joint</t>
    <phoneticPr fontId="1" type="noConversion"/>
  </si>
  <si>
    <t>aasy_58</t>
  </si>
  <si>
    <t>Aaron Sykes</t>
  </si>
  <si>
    <t>aaronrsykes@gmail.com</t>
  </si>
  <si>
    <t>+1 609-377-7615</t>
  </si>
  <si>
    <t>US Weight Fillable 20 lb</t>
    <phoneticPr fontId="1" type="noConversion"/>
  </si>
  <si>
    <t>Need Return</t>
    <phoneticPr fontId="1" type="noConversion"/>
  </si>
  <si>
    <t>George Morrison</t>
    <phoneticPr fontId="1" type="noConversion"/>
  </si>
  <si>
    <t>1ZF4K5T20332526037</t>
    <phoneticPr fontId="1" type="noConversion"/>
  </si>
  <si>
    <t>111-5703735-0681849</t>
  </si>
  <si>
    <t>Pool Supply Town</t>
  </si>
  <si>
    <t>111-8610995-3789038</t>
  </si>
  <si>
    <t>111-2938944-7780265</t>
  </si>
  <si>
    <t>Jul27</t>
    <phoneticPr fontId="1" type="noConversion"/>
  </si>
  <si>
    <t>Fillable 20 lb</t>
    <phoneticPr fontId="1" type="noConversion"/>
  </si>
  <si>
    <t>9405509205568727374866</t>
    <phoneticPr fontId="1" type="noConversion"/>
  </si>
  <si>
    <t>9405509205568121274441</t>
    <phoneticPr fontId="1" type="noConversion"/>
  </si>
  <si>
    <t>111-4527221-5673001</t>
  </si>
  <si>
    <t>111-4933363-4163448</t>
  </si>
  <si>
    <t xml:space="preserve">111-5430521-6978620 </t>
  </si>
  <si>
    <t>111-0086505-6837857</t>
  </si>
  <si>
    <t>Jul26</t>
    <phoneticPr fontId="1" type="noConversion"/>
  </si>
  <si>
    <t>kloveys</t>
  </si>
  <si>
    <t>Keely Loveys</t>
  </si>
  <si>
    <t>petjacbr@gmail.com</t>
  </si>
  <si>
    <t>+1 908-768-7777</t>
  </si>
  <si>
    <t>US Weight 30 lb</t>
    <phoneticPr fontId="1" type="noConversion"/>
  </si>
  <si>
    <t>30 lb</t>
    <phoneticPr fontId="1" type="noConversion"/>
  </si>
  <si>
    <t>Intex Adapter B</t>
    <phoneticPr fontId="1" type="noConversion"/>
  </si>
  <si>
    <t>mschnittman</t>
  </si>
  <si>
    <t>Mark D. Schnittman</t>
  </si>
  <si>
    <t>mschnittman@gmail.com</t>
  </si>
  <si>
    <t>+1 516-380-4835</t>
  </si>
  <si>
    <t>clarkey317</t>
  </si>
  <si>
    <t>Adrian Clarke</t>
  </si>
  <si>
    <t>adrianc187@gmail.com</t>
  </si>
  <si>
    <t>+1 347-458-2000</t>
  </si>
  <si>
    <t>Adapter A n B</t>
    <phoneticPr fontId="1" type="noConversion"/>
  </si>
  <si>
    <t>6978_dog</t>
  </si>
  <si>
    <t>Ali J Flores</t>
  </si>
  <si>
    <t>oskjh@hotmail.com</t>
  </si>
  <si>
    <t>+1 1036364037</t>
  </si>
  <si>
    <t>aliflores_77@hotmail.com</t>
  </si>
  <si>
    <t xml:space="preserve"> </t>
    <phoneticPr fontId="1" type="noConversion"/>
  </si>
  <si>
    <t>+1 917-202-6978</t>
  </si>
  <si>
    <t>25022E Strainer</t>
    <phoneticPr fontId="1" type="noConversion"/>
  </si>
  <si>
    <t>oskjh69</t>
  </si>
  <si>
    <t>JOONGHO GWON</t>
  </si>
  <si>
    <t>108 QT -- Black</t>
    <phoneticPr fontId="1" type="noConversion"/>
  </si>
  <si>
    <t>Amazon</t>
    <phoneticPr fontId="1" type="noConversion"/>
  </si>
  <si>
    <t>kacara-1217</t>
  </si>
  <si>
    <t>Kasie Caraballo</t>
  </si>
  <si>
    <t>caraballokasie@gmail.com</t>
  </si>
  <si>
    <t>+1 917-539-5125</t>
  </si>
  <si>
    <t>Intex Adapter B -- Single</t>
    <phoneticPr fontId="1" type="noConversion"/>
  </si>
  <si>
    <t>javcot_6</t>
  </si>
  <si>
    <t>Javier Cotzomi</t>
  </si>
  <si>
    <t>cotzomij@yahoo.com</t>
  </si>
  <si>
    <t>+1 929-385-5385</t>
  </si>
  <si>
    <t>9405509205568725918741</t>
    <phoneticPr fontId="1" type="noConversion"/>
  </si>
  <si>
    <t>9405509205568120595455</t>
    <phoneticPr fontId="1" type="noConversion"/>
  </si>
  <si>
    <t>9405509205568725918826</t>
    <phoneticPr fontId="1" type="noConversion"/>
  </si>
  <si>
    <t>annabobanna</t>
  </si>
  <si>
    <t>Ann Hardin</t>
  </si>
  <si>
    <t>TAC Curtain - Beach Tree</t>
    <phoneticPr fontId="1" type="noConversion"/>
  </si>
  <si>
    <t>TAC</t>
    <phoneticPr fontId="1" type="noConversion"/>
  </si>
  <si>
    <t>Beach Tree</t>
    <phoneticPr fontId="1" type="noConversion"/>
  </si>
  <si>
    <t>annieo38s@yahoo.com</t>
  </si>
  <si>
    <t>+1 541-290-1064</t>
  </si>
  <si>
    <t>Jul30-Aug03</t>
    <phoneticPr fontId="1" type="noConversion"/>
  </si>
  <si>
    <t>Jul29-31</t>
    <phoneticPr fontId="1" type="noConversion"/>
  </si>
  <si>
    <t>394966874920</t>
    <phoneticPr fontId="1" type="noConversion"/>
  </si>
  <si>
    <t>To be Return Accidental Order</t>
    <phoneticPr fontId="1" type="noConversion"/>
  </si>
  <si>
    <t>Jul06 Del</t>
    <phoneticPr fontId="1" type="noConversion"/>
  </si>
  <si>
    <t>Jul03</t>
    <phoneticPr fontId="1" type="noConversion"/>
  </si>
  <si>
    <t>Refunded to Buyer</t>
    <phoneticPr fontId="1" type="noConversion"/>
  </si>
  <si>
    <t>Del Jul22</t>
    <phoneticPr fontId="1" type="noConversion"/>
  </si>
  <si>
    <t>Find a better price / Retrurn Buyer kept item too expensive to return</t>
    <phoneticPr fontId="1" type="noConversion"/>
  </si>
  <si>
    <t>AB refuned I ask John to send to new buyer direct</t>
    <phoneticPr fontId="1" type="noConversion"/>
  </si>
  <si>
    <t>Bought by Mistake</t>
    <phoneticPr fontId="1" type="noConversion"/>
  </si>
  <si>
    <t>Send return label Jul22</t>
    <phoneticPr fontId="1" type="noConversion"/>
  </si>
  <si>
    <t>dfmexgreek</t>
  </si>
  <si>
    <t>Edwin Sanchez</t>
  </si>
  <si>
    <t>111-8071652-3229802</t>
  </si>
  <si>
    <t>mex_greek@yahoo.com.mx</t>
  </si>
  <si>
    <t>+1 856-426-4785</t>
  </si>
  <si>
    <t>riwar-16</t>
  </si>
  <si>
    <t>Ricky Warnick</t>
  </si>
  <si>
    <t>rwarnick009@gmail.com</t>
  </si>
  <si>
    <t>+1 816-838-2583</t>
  </si>
  <si>
    <t>albujar2604</t>
  </si>
  <si>
    <t>jose albujar</t>
  </si>
  <si>
    <t>jas2604@hotmail.com</t>
  </si>
  <si>
    <t>+1 407-467-1611</t>
  </si>
  <si>
    <t>Skimmer Hose</t>
    <phoneticPr fontId="1" type="noConversion"/>
  </si>
  <si>
    <t>Intex Skimmer Hose</t>
    <phoneticPr fontId="1" type="noConversion"/>
  </si>
  <si>
    <t>1Z5937E30343453158</t>
  </si>
  <si>
    <t>Jul20</t>
    <phoneticPr fontId="1" type="noConversion"/>
  </si>
  <si>
    <t>Intex Skimmer Hose n Adapter</t>
    <phoneticPr fontId="1" type="noConversion"/>
  </si>
  <si>
    <t>On Held</t>
    <phoneticPr fontId="1" type="noConversion"/>
  </si>
  <si>
    <t>571298</t>
    <phoneticPr fontId="1" type="noConversion"/>
  </si>
  <si>
    <t>Rocky Strickler</t>
  </si>
  <si>
    <t>rockyscool@comcast.net</t>
  </si>
  <si>
    <t>+1 904-509-0500</t>
  </si>
  <si>
    <t>heamar_55</t>
  </si>
  <si>
    <t>Heather Marble</t>
  </si>
  <si>
    <t>heathercovey19@gmail.com</t>
  </si>
  <si>
    <t>+1 336-596-5713</t>
  </si>
  <si>
    <t>Reinaldo Deynes</t>
  </si>
  <si>
    <t>msi03949@hotmail.com</t>
  </si>
  <si>
    <t>+1 787-525-5119</t>
  </si>
  <si>
    <t>Skimmer Hose n Ad</t>
    <phoneticPr fontId="1" type="noConversion"/>
  </si>
  <si>
    <t>dblaze180</t>
  </si>
  <si>
    <t>Dustin Blazer</t>
  </si>
  <si>
    <t>dblaze180@yahoo.com</t>
  </si>
  <si>
    <t>+1 918-961-0388</t>
  </si>
  <si>
    <t>Adapter B - Single</t>
    <phoneticPr fontId="1" type="noConversion"/>
  </si>
  <si>
    <t>1Z4450W50269160204</t>
  </si>
  <si>
    <t>9374889718009290762481</t>
    <phoneticPr fontId="1" type="noConversion"/>
  </si>
  <si>
    <t>rdeynes1974 ------------------ PR</t>
    <phoneticPr fontId="1" type="noConversion"/>
  </si>
  <si>
    <t>TBA096645509401</t>
  </si>
  <si>
    <t>9361289697091088365068</t>
    <phoneticPr fontId="1" type="noConversion"/>
  </si>
  <si>
    <t>Jull23 Del</t>
    <phoneticPr fontId="1" type="noConversion"/>
  </si>
  <si>
    <t>TBA097610314101</t>
  </si>
  <si>
    <t>TBA097774468001</t>
  </si>
  <si>
    <t>Jul25 Del</t>
    <phoneticPr fontId="1" type="noConversion"/>
  </si>
  <si>
    <t>1ZAR4456YW18018671</t>
  </si>
  <si>
    <t>1Z81RE910309082499</t>
  </si>
  <si>
    <t>TBA098140982401</t>
  </si>
  <si>
    <t>TBA098291156101</t>
  </si>
  <si>
    <t>9374889676091229357498</t>
    <phoneticPr fontId="1" type="noConversion"/>
  </si>
  <si>
    <t>1Z6A37630304629946</t>
  </si>
  <si>
    <t>LX66832540</t>
  </si>
  <si>
    <t>Lasership</t>
    <phoneticPr fontId="1" type="noConversion"/>
  </si>
  <si>
    <t>TBA098270779201</t>
  </si>
  <si>
    <t>9374889706090997588448</t>
    <phoneticPr fontId="1" type="noConversion"/>
  </si>
  <si>
    <t>1Z83WV060328358894</t>
    <phoneticPr fontId="1" type="noConversion"/>
  </si>
  <si>
    <t>395140151855</t>
    <phoneticPr fontId="1" type="noConversion"/>
  </si>
  <si>
    <t>grimace5557</t>
  </si>
  <si>
    <t>greg grimm</t>
  </si>
  <si>
    <t>Jul</t>
    <phoneticPr fontId="1" type="noConversion"/>
  </si>
  <si>
    <t>ggrimm1@hotmail.com</t>
  </si>
  <si>
    <t>+1 260-273-9155</t>
  </si>
  <si>
    <t>111-2057739-3957049</t>
  </si>
  <si>
    <t>111-0056057-3481060</t>
  </si>
  <si>
    <t>111-2394965-0717005</t>
  </si>
  <si>
    <t>Intex Adapter A</t>
    <phoneticPr fontId="1" type="noConversion"/>
  </si>
  <si>
    <t>canmars_1657</t>
  </si>
  <si>
    <t>Candice Marshall</t>
  </si>
  <si>
    <t>candicekkmarshall@gmail.com</t>
  </si>
  <si>
    <t>+1 401-338-9390</t>
  </si>
  <si>
    <t>Adapter A</t>
    <phoneticPr fontId="1" type="noConversion"/>
  </si>
  <si>
    <t>nzam8643</t>
  </si>
  <si>
    <t>Natalia Zamora</t>
  </si>
  <si>
    <t>natiszg@hotmail.com</t>
  </si>
  <si>
    <t>+1 973-901-4449</t>
  </si>
  <si>
    <t>chris_gram80</t>
  </si>
  <si>
    <t>Chris Gramelspacher</t>
  </si>
  <si>
    <t>chrisgrammy@hotmail.com</t>
  </si>
  <si>
    <t>+1 812-631-3075</t>
  </si>
  <si>
    <t>Jul24 25 Del</t>
    <phoneticPr fontId="1" type="noConversion"/>
  </si>
  <si>
    <t>111-3981924-0782656</t>
  </si>
  <si>
    <t>Jul31</t>
    <phoneticPr fontId="1" type="noConversion"/>
  </si>
  <si>
    <t>SO17899112</t>
    <phoneticPr fontId="1" type="noConversion"/>
  </si>
  <si>
    <t>111-4238776-6034605</t>
  </si>
  <si>
    <t>humu-73 ------------------------- PR</t>
    <phoneticPr fontId="1" type="noConversion"/>
  </si>
  <si>
    <t>111-8265815-5894624</t>
  </si>
  <si>
    <t>Aug08</t>
    <phoneticPr fontId="1" type="noConversion"/>
  </si>
  <si>
    <t>111-6028502-3678610</t>
  </si>
  <si>
    <t>111-2563705-0177051</t>
  </si>
  <si>
    <t>Jul28</t>
    <phoneticPr fontId="1" type="noConversion"/>
  </si>
  <si>
    <t>Intex 25003 ARV O-Rings</t>
    <phoneticPr fontId="1" type="noConversion"/>
  </si>
  <si>
    <t>Intex 10747</t>
    <phoneticPr fontId="1" type="noConversion"/>
  </si>
  <si>
    <t>bacbwe</t>
  </si>
  <si>
    <t>Wheel Polish Specialist/ EBAY</t>
  </si>
  <si>
    <t>crader@mvp.net</t>
  </si>
  <si>
    <t>+1 573-270-0443</t>
  </si>
  <si>
    <t>Intex 25003 O R</t>
    <phoneticPr fontId="1" type="noConversion"/>
  </si>
  <si>
    <t>lstr7489</t>
  </si>
  <si>
    <t>lonnie strahan</t>
  </si>
  <si>
    <t>lstrahan@embarqmail.com</t>
  </si>
  <si>
    <t>+1 850-547-5069</t>
  </si>
  <si>
    <t>shane1970troy</t>
  </si>
  <si>
    <t>Shane Muilenburg</t>
  </si>
  <si>
    <t>shanetroy1970@gmail.com</t>
  </si>
  <si>
    <t>+1 850-982-5219</t>
  </si>
  <si>
    <t>kswenslco_8</t>
  </si>
  <si>
    <t>Kristen Swensen</t>
  </si>
  <si>
    <t>kswenslco@sfcn.org</t>
  </si>
  <si>
    <t>+1 385-207-4885</t>
  </si>
  <si>
    <t>SO17901904</t>
  </si>
  <si>
    <t>SO17902001</t>
  </si>
  <si>
    <t>Zoro</t>
    <phoneticPr fontId="1" type="noConversion"/>
  </si>
  <si>
    <t>SO17902159</t>
  </si>
  <si>
    <t>corvetterwhite</t>
  </si>
  <si>
    <t>Don V Sniady</t>
  </si>
  <si>
    <t>vettdon@aol.com</t>
  </si>
  <si>
    <t>+1 757-287-8334</t>
  </si>
  <si>
    <t>Intex 25022E</t>
    <phoneticPr fontId="1" type="noConversion"/>
  </si>
  <si>
    <t>360_schlegel</t>
  </si>
  <si>
    <t>Josh Schlegel</t>
  </si>
  <si>
    <t>chevota86@hotmail.com</t>
  </si>
  <si>
    <t>+1 360-722-4025</t>
  </si>
  <si>
    <t>mcburney59ur</t>
  </si>
  <si>
    <t>jane a. mcburney</t>
  </si>
  <si>
    <t>jmcburney@yahoo.com</t>
  </si>
  <si>
    <t>+1 515-332-2859</t>
  </si>
  <si>
    <t>cpljenkins</t>
  </si>
  <si>
    <t>jonathan jenkins</t>
  </si>
  <si>
    <t>jjenkins9389@yahoo.com</t>
  </si>
  <si>
    <t>+1 843-819-9928</t>
  </si>
  <si>
    <t>US Weight 20 lb</t>
    <phoneticPr fontId="1" type="noConversion"/>
  </si>
  <si>
    <t>Intex Adapter B -- Single 02</t>
    <phoneticPr fontId="1" type="noConversion"/>
  </si>
  <si>
    <t>Plano Tote 68 QT</t>
    <phoneticPr fontId="1" type="noConversion"/>
  </si>
  <si>
    <t>Angel Rodriguez</t>
  </si>
  <si>
    <t>angelrodnie@hotmail.com</t>
  </si>
  <si>
    <t>+1 787-638-7470</t>
  </si>
  <si>
    <t>Adapter B - Single02</t>
    <phoneticPr fontId="1" type="noConversion"/>
  </si>
  <si>
    <t>ginbluedog</t>
  </si>
  <si>
    <t>Christopher Traggiai</t>
  </si>
  <si>
    <t>clustertrag1@yahoo.com</t>
  </si>
  <si>
    <t>+1 724-496-9363</t>
  </si>
  <si>
    <t>boros4103</t>
  </si>
  <si>
    <t>Brian Boros</t>
  </si>
  <si>
    <t>sailor49618@gmail.com</t>
  </si>
  <si>
    <t>+1 231-884-4686</t>
  </si>
  <si>
    <t>Tote 68QT</t>
    <phoneticPr fontId="1" type="noConversion"/>
  </si>
  <si>
    <t>beaversnducks</t>
  </si>
  <si>
    <t>Cecil Julian</t>
  </si>
  <si>
    <t>cgj2507@netscape.net</t>
  </si>
  <si>
    <t>+1 502-292-8780</t>
  </si>
  <si>
    <t>bigblue0710910</t>
  </si>
  <si>
    <t>DiAnthony Calhoun</t>
  </si>
  <si>
    <t>bigblue07109@yahoo.com</t>
  </si>
  <si>
    <t>+1 201-532-2144</t>
  </si>
  <si>
    <t>9374889684090890936734</t>
    <phoneticPr fontId="1" type="noConversion"/>
  </si>
  <si>
    <t>Jul25 Del Jul26</t>
    <phoneticPr fontId="1" type="noConversion"/>
  </si>
  <si>
    <t xml:space="preserve">Jul24 Del </t>
    <phoneticPr fontId="1" type="noConversion"/>
  </si>
  <si>
    <t>Jul24 Del</t>
    <phoneticPr fontId="1" type="noConversion"/>
  </si>
  <si>
    <t>Jul24 Del</t>
    <phoneticPr fontId="1" type="noConversion"/>
  </si>
  <si>
    <t>9374889684090892020714</t>
    <phoneticPr fontId="1" type="noConversion"/>
  </si>
  <si>
    <t>TBA100767710501</t>
  </si>
  <si>
    <t>TBA100310462401</t>
  </si>
  <si>
    <t>TBA100316882001</t>
  </si>
  <si>
    <t>9374889690090845599466</t>
    <phoneticPr fontId="1" type="noConversion"/>
  </si>
  <si>
    <t>9374889695090616933395</t>
    <phoneticPr fontId="1" type="noConversion"/>
  </si>
  <si>
    <t>1ZX1W6760330795965</t>
  </si>
  <si>
    <t>Jul30</t>
    <phoneticPr fontId="1" type="noConversion"/>
  </si>
  <si>
    <t>1Z5937E30344128801</t>
  </si>
  <si>
    <t xml:space="preserve">1Z5937E30343509615 </t>
  </si>
  <si>
    <t>111-7382073-9750659</t>
  </si>
  <si>
    <t>111-3656065-5994633</t>
  </si>
  <si>
    <t>111-7724539-0933866</t>
  </si>
  <si>
    <t>Jul30-Aug15</t>
    <phoneticPr fontId="1" type="noConversion"/>
  </si>
  <si>
    <t>starkilla989</t>
  </si>
  <si>
    <t>Scott Sheley</t>
  </si>
  <si>
    <t>scott.sheley007@gmail.com</t>
  </si>
  <si>
    <t>+1 832-788-5627</t>
  </si>
  <si>
    <t>Adapter B</t>
    <phoneticPr fontId="1" type="noConversion"/>
  </si>
  <si>
    <t>111-6589829-3039452</t>
  </si>
  <si>
    <t>111-4280234-4665013</t>
  </si>
  <si>
    <t>Aug12</t>
    <phoneticPr fontId="1" type="noConversion"/>
  </si>
  <si>
    <t>dustball62 ------------------------ HI</t>
    <phoneticPr fontId="1" type="noConversion"/>
  </si>
  <si>
    <t>111-0849717-0366660</t>
  </si>
  <si>
    <t>Plano Tote 56 QT</t>
    <phoneticPr fontId="1" type="noConversion"/>
  </si>
  <si>
    <t>daniewilso_56</t>
  </si>
  <si>
    <t>Daniel Wilson</t>
  </si>
  <si>
    <t>wilson_ucla85@yahoo.com</t>
  </si>
  <si>
    <t>+1 208-982-4623</t>
  </si>
  <si>
    <t>56QT</t>
    <phoneticPr fontId="1" type="noConversion"/>
  </si>
  <si>
    <t>111-8981655-2519412</t>
  </si>
  <si>
    <t>Intex O R Full Set</t>
    <phoneticPr fontId="1" type="noConversion"/>
  </si>
  <si>
    <t>Intex Skimmer Adapter</t>
    <phoneticPr fontId="1" type="noConversion"/>
  </si>
  <si>
    <t>Plano Tote 56QT</t>
    <phoneticPr fontId="1" type="noConversion"/>
  </si>
  <si>
    <t>Intex 25003 O-Ring Set</t>
    <phoneticPr fontId="1" type="noConversion"/>
  </si>
  <si>
    <t>gerard.96</t>
  </si>
  <si>
    <t>Gerard Hudson</t>
  </si>
  <si>
    <t>gerard.hudson96@gmail.com</t>
  </si>
  <si>
    <t>+1 347-777-6654</t>
  </si>
  <si>
    <t>gjs8_72</t>
  </si>
  <si>
    <t>George Schneider</t>
  </si>
  <si>
    <t>gjs81372@gmail.com</t>
  </si>
  <si>
    <t>+1 985-351-6382</t>
  </si>
  <si>
    <t>denle4571</t>
  </si>
  <si>
    <t>Dennis Lene</t>
  </si>
  <si>
    <t>dwlene@hotmail.com</t>
  </si>
  <si>
    <t>+1 806-336-9262</t>
  </si>
  <si>
    <t>kmreselling</t>
  </si>
  <si>
    <t>Lurene Swenson</t>
  </si>
  <si>
    <t>kevinmehdi138@gmail.com</t>
  </si>
  <si>
    <t>+1 818-849-8223</t>
  </si>
  <si>
    <t>Intex 25003</t>
    <phoneticPr fontId="1" type="noConversion"/>
  </si>
  <si>
    <t>Intex 25003 OR</t>
    <phoneticPr fontId="1" type="noConversion"/>
  </si>
  <si>
    <t>25 Model 50 pcs</t>
    <phoneticPr fontId="1" type="noConversion"/>
  </si>
  <si>
    <t>emmadel_7</t>
  </si>
  <si>
    <t>emmanuel delgado</t>
  </si>
  <si>
    <t>emmanueldgdo@gmail.com</t>
  </si>
  <si>
    <t>+1 901-550-6400</t>
  </si>
  <si>
    <t>Intex OR Full Set</t>
    <phoneticPr fontId="1" type="noConversion"/>
  </si>
  <si>
    <t>Intex Skimmer Hose</t>
    <phoneticPr fontId="1" type="noConversion"/>
  </si>
  <si>
    <t>lawre-daw</t>
  </si>
  <si>
    <t>Lawrence dawe</t>
  </si>
  <si>
    <t>cedawe57@hotmail.com</t>
  </si>
  <si>
    <t>+1 810-614-9485</t>
  </si>
  <si>
    <t>111-8287069-3230638</t>
  </si>
  <si>
    <t>111-4179753-4629068</t>
  </si>
  <si>
    <t>Aug04</t>
    <phoneticPr fontId="1" type="noConversion"/>
  </si>
  <si>
    <t>111-1648678-6473060</t>
  </si>
  <si>
    <t>Daphanie Stamps</t>
  </si>
  <si>
    <t>daphstam  ------------ Cancel</t>
    <phoneticPr fontId="1" type="noConversion"/>
  </si>
  <si>
    <t>cmcdonough2</t>
  </si>
  <si>
    <t>chris mcdonough</t>
  </si>
  <si>
    <t>mcdonoughchris@yahoo.com</t>
  </si>
  <si>
    <t>+1 520-981-2253</t>
  </si>
  <si>
    <t>Intex 26004E Strainer</t>
    <phoneticPr fontId="1" type="noConversion"/>
  </si>
  <si>
    <t>Cancelled</t>
    <phoneticPr fontId="1" type="noConversion"/>
  </si>
  <si>
    <t>erbmotorsports5</t>
  </si>
  <si>
    <t>ERB MOTORSPORTS</t>
  </si>
  <si>
    <t>jon@erbmotorsports.com</t>
  </si>
  <si>
    <t>+1 209-996-7353</t>
  </si>
  <si>
    <t>25 Models 50 pcs</t>
    <phoneticPr fontId="1" type="noConversion"/>
  </si>
  <si>
    <t>111-8389931-3599466</t>
  </si>
  <si>
    <t>INTEX</t>
    <phoneticPr fontId="1" type="noConversion"/>
  </si>
  <si>
    <t>200337202</t>
    <phoneticPr fontId="1" type="noConversion"/>
  </si>
  <si>
    <t>sweetninja3</t>
  </si>
  <si>
    <t>David Samala</t>
  </si>
  <si>
    <t>dsamala1960@gmail.com</t>
  </si>
  <si>
    <t>+1 949-632-9848</t>
  </si>
  <si>
    <t>Intex 26005E Strainer Jet</t>
    <phoneticPr fontId="1" type="noConversion"/>
  </si>
  <si>
    <t>111-8745791-8819446</t>
  </si>
  <si>
    <t>111-9517703-4724225</t>
  </si>
  <si>
    <t>111-3101452-2217867</t>
  </si>
  <si>
    <t>jersey919nc</t>
    <phoneticPr fontId="1" type="noConversion"/>
  </si>
  <si>
    <t>SO17943819</t>
  </si>
  <si>
    <t>92748999998098513015868999</t>
    <phoneticPr fontId="1" type="noConversion"/>
  </si>
  <si>
    <t>Intex Hose 1.50 X2</t>
    <phoneticPr fontId="1" type="noConversion"/>
  </si>
  <si>
    <t>hack147</t>
  </si>
  <si>
    <t>walt Sevensky</t>
  </si>
  <si>
    <t>wak7sky@yahoo.com</t>
  </si>
  <si>
    <t>+1 908-310-6727</t>
  </si>
  <si>
    <t>US Weight Fillable 20</t>
    <phoneticPr fontId="1" type="noConversion"/>
  </si>
  <si>
    <t>mokka-2311</t>
  </si>
  <si>
    <t>Mohamad Kazem</t>
  </si>
  <si>
    <t>Curtain - Outdoor View</t>
    <phoneticPr fontId="1" type="noConversion"/>
  </si>
  <si>
    <t>mokazem@yahoo.com</t>
  </si>
  <si>
    <t>+1 713-240-3138</t>
  </si>
  <si>
    <t>SKL</t>
    <phoneticPr fontId="1" type="noConversion"/>
  </si>
  <si>
    <t>Curtain - Outdoor</t>
    <phoneticPr fontId="1" type="noConversion"/>
  </si>
  <si>
    <t>pesant_9590</t>
  </si>
  <si>
    <t>Pedro Santiago</t>
  </si>
  <si>
    <t>santiago.pedro.agramonte@gmail.com</t>
  </si>
  <si>
    <t>+1 917-365-8317</t>
  </si>
  <si>
    <t>Hose 1.50 X2</t>
    <phoneticPr fontId="1" type="noConversion"/>
  </si>
  <si>
    <t>hen346375</t>
  </si>
  <si>
    <t>Ted Hensley</t>
  </si>
  <si>
    <t>tedhensley2@gmail.com</t>
  </si>
  <si>
    <t>+1 419-779-2892</t>
  </si>
  <si>
    <t>Intex 26005E</t>
    <phoneticPr fontId="1" type="noConversion"/>
  </si>
  <si>
    <t>pecador1209</t>
  </si>
  <si>
    <t>Blanca M Rosado</t>
  </si>
  <si>
    <t>beionders@hotmail.com</t>
  </si>
  <si>
    <t>+1 787-975-3680</t>
  </si>
  <si>
    <t>Intex 25006 O Ring</t>
    <phoneticPr fontId="1" type="noConversion"/>
  </si>
  <si>
    <t>apgr33 --------- Cancelled</t>
    <phoneticPr fontId="1" type="noConversion"/>
  </si>
  <si>
    <t>brack.larr</t>
  </si>
  <si>
    <t>larry brackins</t>
  </si>
  <si>
    <t>brackinslarry@yahoo.com</t>
  </si>
  <si>
    <t>+1 248-935-1625</t>
  </si>
  <si>
    <t>Intex 25006 OR</t>
    <phoneticPr fontId="1" type="noConversion"/>
  </si>
  <si>
    <t>delacruzjerrylee70</t>
    <phoneticPr fontId="1" type="noConversion"/>
  </si>
  <si>
    <t>Jul28 Del</t>
    <phoneticPr fontId="1" type="noConversion"/>
  </si>
  <si>
    <t>Jul30</t>
    <phoneticPr fontId="1" type="noConversion"/>
  </si>
  <si>
    <t>111-0302434-5495455</t>
  </si>
  <si>
    <t>Jul27 Del</t>
    <phoneticPr fontId="1" type="noConversion"/>
  </si>
  <si>
    <t>TBA101771962501</t>
  </si>
  <si>
    <t>kevela255 ----------- PR Can</t>
    <phoneticPr fontId="1" type="noConversion"/>
  </si>
  <si>
    <t>9374889693090472638092</t>
    <phoneticPr fontId="1" type="noConversion"/>
  </si>
  <si>
    <t>9374889717009434115044</t>
    <phoneticPr fontId="1" type="noConversion"/>
  </si>
  <si>
    <t>Jul29 Del</t>
    <phoneticPr fontId="1" type="noConversion"/>
  </si>
  <si>
    <t>jcpyro4 ------------------ PR</t>
    <phoneticPr fontId="1" type="noConversion"/>
  </si>
  <si>
    <t>9205590213424724435018</t>
    <phoneticPr fontId="1" type="noConversion"/>
  </si>
  <si>
    <t>9205590213424724435285</t>
    <phoneticPr fontId="1" type="noConversion"/>
  </si>
  <si>
    <t>TBA102418726901</t>
    <phoneticPr fontId="1" type="noConversion"/>
  </si>
  <si>
    <t>1Z5937E30343153615</t>
    <phoneticPr fontId="1" type="noConversion"/>
  </si>
  <si>
    <t>TBA102798536101</t>
  </si>
  <si>
    <t>TBA102897503701</t>
  </si>
  <si>
    <t>111-4419049-6235402</t>
  </si>
  <si>
    <t>TBA102938130801</t>
  </si>
  <si>
    <t>Delivery Attempt</t>
    <phoneticPr fontId="1" type="noConversion"/>
  </si>
  <si>
    <t>9374889680090756272819</t>
    <phoneticPr fontId="1" type="noConversion"/>
  </si>
  <si>
    <t>1Z1AV5760325682449</t>
    <phoneticPr fontId="1" type="noConversion"/>
  </si>
  <si>
    <t>TRANSFER</t>
    <phoneticPr fontId="1" type="noConversion"/>
  </si>
  <si>
    <t>1ZX1W6760330893091</t>
    <phoneticPr fontId="1" type="noConversion"/>
  </si>
  <si>
    <t>Meghan Anderson</t>
    <phoneticPr fontId="1" type="noConversion"/>
  </si>
  <si>
    <t>111-7564487-4308213</t>
  </si>
  <si>
    <t>111-2419273-5589039</t>
  </si>
  <si>
    <t>111-2542693-2283408</t>
  </si>
  <si>
    <t>111-2821653-8688267</t>
  </si>
  <si>
    <t>Aug05</t>
    <phoneticPr fontId="1" type="noConversion"/>
  </si>
  <si>
    <t>msviclav</t>
  </si>
  <si>
    <t>vickie lavelle</t>
  </si>
  <si>
    <t>msviclav1228@aol.com</t>
  </si>
  <si>
    <t>+1 814-941-0736</t>
  </si>
  <si>
    <t>Adapter A x 4</t>
    <phoneticPr fontId="1" type="noConversion"/>
  </si>
  <si>
    <t>Intex Adapter A x 4</t>
    <phoneticPr fontId="1" type="noConversion"/>
  </si>
  <si>
    <t>pchpower1</t>
  </si>
  <si>
    <t>Michael Albarian</t>
  </si>
  <si>
    <t>malbarian@pchpower.com</t>
  </si>
  <si>
    <t>+1 310-822-1045</t>
  </si>
  <si>
    <t>micbia_5075</t>
  </si>
  <si>
    <t>michael bianco</t>
  </si>
  <si>
    <t>biancoautomagic@earthlink.net</t>
  </si>
  <si>
    <t>+1 724-205-0577</t>
  </si>
  <si>
    <t>usjor-1xgt6y</t>
  </si>
  <si>
    <t>jorge Trujillo</t>
  </si>
  <si>
    <t>trujillo_j29@yahoo.com</t>
  </si>
  <si>
    <t>+1 956-588-5766</t>
  </si>
  <si>
    <t>TBA103874363401</t>
  </si>
  <si>
    <t>Jul30 Del</t>
    <phoneticPr fontId="1" type="noConversion"/>
  </si>
  <si>
    <t>Since 2010 Store</t>
  </si>
  <si>
    <t>Intex Surface Skimmer</t>
    <phoneticPr fontId="1" type="noConversion"/>
  </si>
  <si>
    <t>15-05484-34606</t>
  </si>
  <si>
    <t>Bestway Adapter</t>
    <phoneticPr fontId="1" type="noConversion"/>
  </si>
  <si>
    <t>ID=outdoorsupplyinc</t>
    <phoneticPr fontId="1" type="noConversion"/>
  </si>
  <si>
    <t>111-0700790-9577064</t>
  </si>
  <si>
    <t>steveo1105</t>
  </si>
  <si>
    <t>Curtain - Color Wave</t>
    <phoneticPr fontId="1" type="noConversion"/>
  </si>
  <si>
    <t>Stephen Overlin</t>
  </si>
  <si>
    <t>steveo1105@yahoo.com</t>
  </si>
  <si>
    <t>+1 618-600-9166</t>
  </si>
  <si>
    <t>Color Wave</t>
    <phoneticPr fontId="1" type="noConversion"/>
  </si>
  <si>
    <t>Jamie Lyn Celoso</t>
  </si>
  <si>
    <t>Curtain - Flamingo</t>
    <phoneticPr fontId="1" type="noConversion"/>
  </si>
  <si>
    <t>jamielyn.celoso@gmail.com</t>
  </si>
  <si>
    <t>+1 671-682-2625</t>
  </si>
  <si>
    <t>Intex Skimmer</t>
    <phoneticPr fontId="1" type="noConversion"/>
  </si>
  <si>
    <t>Troy Burke</t>
  </si>
  <si>
    <t>troyburke35@gmail.com</t>
  </si>
  <si>
    <t>+1 340-690-1573</t>
  </si>
  <si>
    <t>Flamingo</t>
    <phoneticPr fontId="1" type="noConversion"/>
  </si>
  <si>
    <t>taokfg</t>
  </si>
  <si>
    <t>kevin gerhardt</t>
  </si>
  <si>
    <t>kgerhardt@comcast.net</t>
  </si>
  <si>
    <t>+1 386-668-6786</t>
  </si>
  <si>
    <t>ironman4_4</t>
  </si>
  <si>
    <t>ironman4hire1957@gmail.com</t>
  </si>
  <si>
    <t>+1 865-456-9404</t>
  </si>
  <si>
    <t>Summer Wave 1.25 Return</t>
    <phoneticPr fontId="1" type="noConversion"/>
  </si>
  <si>
    <t>rod3992_sznwkc</t>
  </si>
  <si>
    <t>chris rodriguez</t>
  </si>
  <si>
    <t>rodriquez472@gmail.com</t>
  </si>
  <si>
    <t>+1 209-423-3992</t>
  </si>
  <si>
    <t>Intex 10747+10722</t>
    <phoneticPr fontId="1" type="noConversion"/>
  </si>
  <si>
    <t>ercahooner_0</t>
  </si>
  <si>
    <t>Erica Cahoon</t>
  </si>
  <si>
    <t>eka30@live.com</t>
  </si>
  <si>
    <t>+1 701-541-2507</t>
  </si>
  <si>
    <t>terryholdener</t>
  </si>
  <si>
    <t>Terry Holdener</t>
  </si>
  <si>
    <t>terryholdener@gmail.com</t>
  </si>
  <si>
    <t>+1 253-261-6192</t>
  </si>
  <si>
    <t>Summer Wave 1.25 R</t>
    <phoneticPr fontId="1" type="noConversion"/>
  </si>
  <si>
    <t>SUMMER STORE</t>
    <phoneticPr fontId="1" type="noConversion"/>
  </si>
  <si>
    <t>395327026908</t>
    <phoneticPr fontId="1" type="noConversion"/>
  </si>
  <si>
    <t>Aug01</t>
    <phoneticPr fontId="1" type="noConversion"/>
  </si>
  <si>
    <t>395328111400</t>
    <phoneticPr fontId="1" type="noConversion"/>
  </si>
  <si>
    <t>Aug03</t>
    <phoneticPr fontId="1" type="noConversion"/>
  </si>
  <si>
    <t>TBA104439729001</t>
  </si>
  <si>
    <t>TBA104303823801</t>
  </si>
  <si>
    <t>111-8916977-3320219</t>
  </si>
  <si>
    <t>Aug02</t>
    <phoneticPr fontId="1" type="noConversion"/>
  </si>
  <si>
    <t xml:space="preserve">9374889706091006520350
</t>
    <phoneticPr fontId="1" type="noConversion"/>
  </si>
  <si>
    <t>111-5136302-9103457</t>
  </si>
  <si>
    <t>Aug11-13</t>
    <phoneticPr fontId="1" type="noConversion"/>
  </si>
  <si>
    <t>111-1162124-3128229</t>
  </si>
  <si>
    <t>Aug05-19</t>
    <phoneticPr fontId="1" type="noConversion"/>
  </si>
  <si>
    <t>111-5988493-1608207</t>
  </si>
  <si>
    <t>Req Return</t>
    <phoneticPr fontId="1" type="noConversion"/>
  </si>
  <si>
    <t>John Degli</t>
    <phoneticPr fontId="1" type="noConversion"/>
  </si>
  <si>
    <t>111-8411268-9121043</t>
  </si>
  <si>
    <t>Alexander Elftmann</t>
  </si>
  <si>
    <t>al3e925@gmail.com</t>
  </si>
  <si>
    <t>+1 925-518-4268</t>
  </si>
  <si>
    <t>Adapter A - Single</t>
    <phoneticPr fontId="1" type="noConversion"/>
  </si>
  <si>
    <t>111-6255731-2584234</t>
  </si>
  <si>
    <t>Jul31 Del</t>
    <phoneticPr fontId="1" type="noConversion"/>
  </si>
  <si>
    <t>111-2522124-0610638</t>
  </si>
  <si>
    <t>GPFS</t>
    <phoneticPr fontId="1" type="noConversion"/>
  </si>
  <si>
    <t>111-6841946-8518666</t>
  </si>
  <si>
    <t>111-9732244-7014658</t>
  </si>
  <si>
    <t>111-8060489-7980247</t>
  </si>
  <si>
    <t>Aug06</t>
    <phoneticPr fontId="1" type="noConversion"/>
  </si>
  <si>
    <t>elftmann1234 ---------- Cancelled</t>
    <phoneticPr fontId="1" type="noConversion"/>
  </si>
  <si>
    <t>1Z6A281T0302677182</t>
    <phoneticPr fontId="1" type="noConversion"/>
  </si>
  <si>
    <t>395350563043</t>
    <phoneticPr fontId="1" type="noConversion"/>
  </si>
  <si>
    <t>1Z8Y8Y820311032341</t>
  </si>
  <si>
    <t>1Z8Y8Y820310959825</t>
  </si>
  <si>
    <t>Jul30 Del</t>
    <phoneticPr fontId="1" type="noConversion"/>
  </si>
  <si>
    <t>9374889701090565406315</t>
    <phoneticPr fontId="1" type="noConversion"/>
  </si>
  <si>
    <t>TBA105728870601</t>
    <phoneticPr fontId="1" type="noConversion"/>
  </si>
  <si>
    <t>9374889706091008258848</t>
    <phoneticPr fontId="1" type="noConversion"/>
  </si>
  <si>
    <t>9374889674090708400580</t>
    <phoneticPr fontId="1" type="noConversion"/>
  </si>
  <si>
    <t>tfr3215</t>
  </si>
  <si>
    <t>tommy rinehardt</t>
  </si>
  <si>
    <t>Intex 1.25 Hose 59" 2 Pack</t>
    <phoneticPr fontId="1" type="noConversion"/>
  </si>
  <si>
    <t>mvillebluedevil@aol.com</t>
  </si>
  <si>
    <t>+1 704-662-4537</t>
  </si>
  <si>
    <t>carlos diaz</t>
  </si>
  <si>
    <t>carlosjpr2001@icloud.com</t>
  </si>
  <si>
    <t>+1 787-410-4824</t>
  </si>
  <si>
    <t>Intex Adapter A x 2</t>
    <phoneticPr fontId="1" type="noConversion"/>
  </si>
  <si>
    <t>Intex 1.50 Hose x 2</t>
    <phoneticPr fontId="1" type="noConversion"/>
  </si>
  <si>
    <t>jclush</t>
  </si>
  <si>
    <t>John Lusher</t>
  </si>
  <si>
    <t>jclush@hotmail.com</t>
  </si>
  <si>
    <t>+1 803-894-3565</t>
  </si>
  <si>
    <t>Intex 1.25 59" x 2</t>
    <phoneticPr fontId="1" type="noConversion"/>
  </si>
  <si>
    <t>wadd_us_v2g0lnzk</t>
  </si>
  <si>
    <t>Dale Lovett</t>
  </si>
  <si>
    <t>william8876</t>
  </si>
  <si>
    <t>Marie D Steed</t>
  </si>
  <si>
    <t>#TC1045</t>
    <phoneticPr fontId="1" type="noConversion"/>
  </si>
  <si>
    <t>111-4503399-8448264</t>
  </si>
  <si>
    <t>111-4523777-1092260</t>
  </si>
  <si>
    <t>SO18005697</t>
    <phoneticPr fontId="1" type="noConversion"/>
  </si>
  <si>
    <t>SO18005953</t>
  </si>
  <si>
    <t>576-SO18006134</t>
  </si>
  <si>
    <t>SO18006233</t>
  </si>
  <si>
    <t>111-4666298-5200242</t>
  </si>
  <si>
    <t>111-9394348-2058633</t>
  </si>
  <si>
    <t>Aug03-05</t>
    <phoneticPr fontId="1" type="noConversion"/>
  </si>
  <si>
    <t>111-7727911-1363405</t>
  </si>
  <si>
    <t>Del Jun12</t>
    <phoneticPr fontId="1" type="noConversion"/>
  </si>
  <si>
    <t>32 days</t>
    <phoneticPr fontId="1" type="noConversion"/>
  </si>
  <si>
    <t>Jun17 Del</t>
    <phoneticPr fontId="1" type="noConversion"/>
  </si>
  <si>
    <t>Jun17 Del 41days</t>
    <phoneticPr fontId="1" type="noConversion"/>
  </si>
  <si>
    <t>Jun27 Del</t>
    <phoneticPr fontId="1" type="noConversion"/>
  </si>
  <si>
    <t>Ord Apr24</t>
    <phoneticPr fontId="1" type="noConversion"/>
  </si>
  <si>
    <t>Jul13 Del 79 days</t>
    <phoneticPr fontId="1" type="noConversion"/>
  </si>
  <si>
    <t>Jul09 Del</t>
    <phoneticPr fontId="1" type="noConversion"/>
  </si>
  <si>
    <t>72 days</t>
    <phoneticPr fontId="1" type="noConversion"/>
  </si>
  <si>
    <t>AE</t>
    <phoneticPr fontId="1" type="noConversion"/>
  </si>
  <si>
    <t>Eduardo Baez</t>
  </si>
  <si>
    <t>eduardobaez7031@gmail.com</t>
  </si>
  <si>
    <t>+1 787-388-4758</t>
  </si>
  <si>
    <t>dam-dga-nv8re9lo</t>
  </si>
  <si>
    <t>Damon Gandiana</t>
  </si>
  <si>
    <t>damonlavongandiana03161999@gmail.com</t>
  </si>
  <si>
    <t>+1 386-209-4591</t>
  </si>
  <si>
    <t>68 QT -- Green</t>
    <phoneticPr fontId="1" type="noConversion"/>
  </si>
  <si>
    <t>raspaplancha</t>
  </si>
  <si>
    <t>Charles Rosario</t>
  </si>
  <si>
    <t>raspaplancha@yahoo.com</t>
  </si>
  <si>
    <t>+1 410-627-1419</t>
  </si>
  <si>
    <t>419salas</t>
  </si>
  <si>
    <t>Rudy Salazar</t>
  </si>
  <si>
    <t>tejanofro@embarqmail.com</t>
  </si>
  <si>
    <t>+1 419-890-8084</t>
  </si>
  <si>
    <t>vidal_illrise</t>
  </si>
  <si>
    <t>Vidal A Flores Zuniga</t>
  </si>
  <si>
    <t>vidal.illrise@gmail.com</t>
  </si>
  <si>
    <t>+1 301-767-6573</t>
  </si>
  <si>
    <t>eduardo7031 ------------------ PR</t>
    <phoneticPr fontId="1" type="noConversion"/>
  </si>
  <si>
    <t>mrohtera</t>
  </si>
  <si>
    <t>MARYANN rothera</t>
  </si>
  <si>
    <t>66mrothera@gmail.cocm</t>
  </si>
  <si>
    <t>+1 714-261-0264</t>
  </si>
  <si>
    <t>Intex Adapter B - Single</t>
    <phoneticPr fontId="1" type="noConversion"/>
  </si>
  <si>
    <t>villanuevau9freddy</t>
  </si>
  <si>
    <t>Guadalupe Villanueva</t>
  </si>
  <si>
    <t>villanuevau9@gmail.com</t>
  </si>
  <si>
    <t>+1 830-275-8537</t>
  </si>
  <si>
    <t>Adapter B - Sinlge</t>
    <phoneticPr fontId="1" type="noConversion"/>
  </si>
  <si>
    <t>jayleeah ----------------- Guam</t>
    <phoneticPr fontId="1" type="noConversion"/>
  </si>
  <si>
    <t>111-6772446-4753865</t>
  </si>
  <si>
    <t>Aug14</t>
    <phoneticPr fontId="1" type="noConversion"/>
  </si>
  <si>
    <t>9205590213422514644275</t>
    <phoneticPr fontId="1" type="noConversion"/>
  </si>
  <si>
    <t>9374889705090706070074</t>
    <phoneticPr fontId="1" type="noConversion"/>
  </si>
  <si>
    <t>9374889682090950673489</t>
    <phoneticPr fontId="1" type="noConversion"/>
  </si>
  <si>
    <t>9374889680090758168226</t>
    <phoneticPr fontId="1" type="noConversion"/>
  </si>
  <si>
    <t>9374889727009076049605</t>
    <phoneticPr fontId="1" type="noConversion"/>
  </si>
  <si>
    <t>Del Jul31</t>
    <phoneticPr fontId="1" type="noConversion"/>
  </si>
  <si>
    <t>9405511899223023995080</t>
    <phoneticPr fontId="1" type="noConversion"/>
  </si>
  <si>
    <t>tobias Boutilier</t>
    <phoneticPr fontId="1" type="noConversion"/>
  </si>
  <si>
    <t>111-7561816-3728222</t>
  </si>
  <si>
    <t>111-0773053-7757847</t>
  </si>
  <si>
    <t xml:space="preserve">111-8981171-6529857 </t>
  </si>
  <si>
    <t>Aug10</t>
    <phoneticPr fontId="1" type="noConversion"/>
  </si>
  <si>
    <t>111-8368623-4265847</t>
  </si>
  <si>
    <t>111-8428030-4765042</t>
  </si>
  <si>
    <t>111-1945675-2956243</t>
  </si>
  <si>
    <t>111-7074203-8449800</t>
  </si>
  <si>
    <t>Intex Telescopic Pole 94</t>
    <phoneticPr fontId="1" type="noConversion"/>
  </si>
  <si>
    <t>Julie Harris</t>
  </si>
  <si>
    <t>jubie4543h ------ Cancel</t>
    <phoneticPr fontId="1" type="noConversion"/>
  </si>
  <si>
    <t>bigtimexxxl</t>
  </si>
  <si>
    <t>michael church</t>
  </si>
  <si>
    <t>michaelchurch@yahoo.com</t>
  </si>
  <si>
    <t>+1 828-320-3901</t>
  </si>
  <si>
    <t>GAME 4560</t>
    <phoneticPr fontId="1" type="noConversion"/>
  </si>
  <si>
    <t>edwinpeek</t>
  </si>
  <si>
    <t>edwin peek</t>
  </si>
  <si>
    <t>edwin@peekshome.com</t>
  </si>
  <si>
    <t>+1 918-630-1765</t>
  </si>
  <si>
    <t>joseb-ocamp</t>
  </si>
  <si>
    <t xml:space="preserve">SW SFX Adapter Plate </t>
    <phoneticPr fontId="1" type="noConversion"/>
  </si>
  <si>
    <t>ocampo jose b.</t>
  </si>
  <si>
    <t>benelectric21@gmail.com</t>
  </si>
  <si>
    <t>+1 209-513-3671</t>
  </si>
  <si>
    <t>SW Adapter Plate</t>
    <phoneticPr fontId="1" type="noConversion"/>
  </si>
  <si>
    <t>heranthgree</t>
  </si>
  <si>
    <t>Anthony Green</t>
  </si>
  <si>
    <t>herkyhog2003@yahoo.com</t>
  </si>
  <si>
    <t>+1 850-240-0549</t>
  </si>
  <si>
    <t>no_678400</t>
  </si>
  <si>
    <t>Jen North</t>
  </si>
  <si>
    <t>north.jen03@yahoo.com</t>
  </si>
  <si>
    <t>+1 425-268-0238</t>
  </si>
  <si>
    <t xml:space="preserve">Adapter B  </t>
    <phoneticPr fontId="1" type="noConversion"/>
  </si>
  <si>
    <t>TBA106776261601</t>
  </si>
  <si>
    <t>TBA107548119201</t>
  </si>
  <si>
    <t>9374889706091011677285</t>
    <phoneticPr fontId="1" type="noConversion"/>
  </si>
  <si>
    <t>1Z8110XY0330614190</t>
    <phoneticPr fontId="1" type="noConversion"/>
  </si>
  <si>
    <t>111-9144724-5170638</t>
  </si>
  <si>
    <t>SO18028049</t>
  </si>
  <si>
    <t>484-SO18028254</t>
  </si>
  <si>
    <t>SO18028477</t>
  </si>
  <si>
    <t>diodatesi-0</t>
  </si>
  <si>
    <t>Plano Tote 68 QT -- Black</t>
    <phoneticPr fontId="1" type="noConversion"/>
  </si>
  <si>
    <t>Dion Dates II</t>
  </si>
  <si>
    <t>diondatesii@icloud.com</t>
  </si>
  <si>
    <t>+1 916-459-5033</t>
  </si>
  <si>
    <t>68QT</t>
    <phoneticPr fontId="1" type="noConversion"/>
  </si>
  <si>
    <t>Aug03 Del</t>
    <phoneticPr fontId="1" type="noConversion"/>
  </si>
  <si>
    <t>GAME 4558 Hose Adapter</t>
    <phoneticPr fontId="1" type="noConversion"/>
  </si>
  <si>
    <t>93talones</t>
  </si>
  <si>
    <t>Kristopher Quirk</t>
  </si>
  <si>
    <t>wheelz0201@yahoo.com</t>
  </si>
  <si>
    <t>+1 570-728-4509</t>
  </si>
  <si>
    <t>ITSPS</t>
    <phoneticPr fontId="1" type="noConversion"/>
  </si>
  <si>
    <t>GAME 4558</t>
    <phoneticPr fontId="1" type="noConversion"/>
  </si>
  <si>
    <t>Aug07</t>
    <phoneticPr fontId="1" type="noConversion"/>
  </si>
  <si>
    <t>sebody</t>
  </si>
  <si>
    <t>Scott Allred</t>
  </si>
  <si>
    <t>Intex 26004E Strainer Jet</t>
    <phoneticPr fontId="1" type="noConversion"/>
  </si>
  <si>
    <t>sebodyshop@ncrrbiz.com</t>
  </si>
  <si>
    <t>+1 336-625-5517</t>
  </si>
  <si>
    <t>26004E Strainer</t>
    <phoneticPr fontId="1" type="noConversion"/>
  </si>
  <si>
    <t>111-9385478-0549045</t>
  </si>
  <si>
    <t>TBA107908021301</t>
  </si>
  <si>
    <t>1Z0W37W30244534933</t>
  </si>
  <si>
    <t>UPS</t>
    <phoneticPr fontId="1" type="noConversion"/>
  </si>
  <si>
    <t>1Z81F8100322252911</t>
  </si>
  <si>
    <t>111-1675704-3249821</t>
  </si>
  <si>
    <t>River Country</t>
    <phoneticPr fontId="1" type="noConversion"/>
  </si>
  <si>
    <t>Aug13-20</t>
    <phoneticPr fontId="1" type="noConversion"/>
  </si>
  <si>
    <t>Curtain - Window View</t>
    <phoneticPr fontId="1" type="noConversion"/>
  </si>
  <si>
    <t>tlkte84</t>
  </si>
  <si>
    <t>Ted Jones</t>
  </si>
  <si>
    <t>tlkj@columbus.rr.com</t>
  </si>
  <si>
    <t>+1 614-361-1608</t>
  </si>
  <si>
    <t>AbaededCurtain</t>
    <phoneticPr fontId="1" type="noConversion"/>
  </si>
  <si>
    <t>Window View</t>
    <phoneticPr fontId="1" type="noConversion"/>
  </si>
  <si>
    <t>12steiger12</t>
  </si>
  <si>
    <t>weston michael</t>
  </si>
  <si>
    <t>wmichael12@att.net</t>
  </si>
  <si>
    <t>+1 928-308-2261</t>
  </si>
  <si>
    <t>nickolas_blue</t>
  </si>
  <si>
    <t>Nickolas Tilio</t>
  </si>
  <si>
    <t>nickolas_tilio@hotmail.com</t>
  </si>
  <si>
    <t>+1 508-283-0577</t>
  </si>
  <si>
    <t>TAC Curtain - Eyes</t>
    <phoneticPr fontId="1" type="noConversion"/>
  </si>
  <si>
    <t>Eyes</t>
    <phoneticPr fontId="1" type="noConversion"/>
  </si>
  <si>
    <t>Intex Small Strainer</t>
    <phoneticPr fontId="1" type="noConversion"/>
  </si>
  <si>
    <t>yorgihernande-0</t>
  </si>
  <si>
    <t>yorgis hernandez</t>
  </si>
  <si>
    <t>hernandezyorgis@gmail.com</t>
  </si>
  <si>
    <t>+1 786-655-2995</t>
  </si>
  <si>
    <t>xa.xavh.ahqo6poqgx</t>
  </si>
  <si>
    <t>Xavier Hernandez</t>
  </si>
  <si>
    <t>xavier562@gmail.com</t>
  </si>
  <si>
    <t>+1 562-215-2511</t>
  </si>
  <si>
    <t>Intex Repair Patch 6 CT</t>
    <phoneticPr fontId="1" type="noConversion"/>
  </si>
  <si>
    <t>goldengirlsclassy</t>
  </si>
  <si>
    <t>Jeanne Rice</t>
  </si>
  <si>
    <t>jeannesgoldengirls57@gmail.com</t>
  </si>
  <si>
    <t>+1 386-965-4737</t>
  </si>
  <si>
    <t>Intex Repair Patch 6C</t>
    <phoneticPr fontId="1" type="noConversion"/>
  </si>
  <si>
    <t>111-4009250-4767414</t>
  </si>
  <si>
    <t>111-6548394-7137818</t>
  </si>
  <si>
    <t>111-7213414-5199440</t>
  </si>
  <si>
    <t>Aug11</t>
    <phoneticPr fontId="1" type="noConversion"/>
  </si>
  <si>
    <t>111-5537239-6613027</t>
  </si>
  <si>
    <t>waddlebuttfarms@icloud.com</t>
  </si>
  <si>
    <t>+1 803-528-8406</t>
  </si>
  <si>
    <t>111-0316963-8779464</t>
  </si>
  <si>
    <t>111-6971712-3314657</t>
  </si>
  <si>
    <t>111-6371006-6805827</t>
  </si>
  <si>
    <t>111-5286178-7496237</t>
  </si>
  <si>
    <t>111-7786104-1260203</t>
  </si>
  <si>
    <t xml:space="preserve">1Z5937E30343420013 </t>
    <phoneticPr fontId="1" type="noConversion"/>
  </si>
  <si>
    <t>1Z5937E30344718423</t>
  </si>
  <si>
    <t>1Z5937E30345875154</t>
  </si>
  <si>
    <t>Aug04 Del</t>
    <phoneticPr fontId="1" type="noConversion"/>
  </si>
  <si>
    <t>111-7407673-6264249</t>
  </si>
  <si>
    <t>1ZE24A700316468673</t>
  </si>
  <si>
    <t>1ZE24A700316468548</t>
  </si>
  <si>
    <t>1ZE24A700316468155</t>
  </si>
  <si>
    <t>Promo Cr</t>
    <phoneticPr fontId="1" type="noConversion"/>
  </si>
  <si>
    <t>Intex Pool Leaf Rake</t>
    <phoneticPr fontId="1" type="noConversion"/>
  </si>
  <si>
    <t>Intex Adapter A n B</t>
    <phoneticPr fontId="1" type="noConversion"/>
  </si>
  <si>
    <t>Intex T Joiint</t>
    <phoneticPr fontId="1" type="noConversion"/>
  </si>
  <si>
    <t>Sent him Fortune FORGET email change</t>
    <phoneticPr fontId="1" type="noConversion"/>
  </si>
  <si>
    <t>Alex Jacobs</t>
    <phoneticPr fontId="1" type="noConversion"/>
  </si>
  <si>
    <t>Jabel De Marco Ortiz</t>
  </si>
  <si>
    <t>demarco_ortiz@hotmail.com</t>
  </si>
  <si>
    <t>8998710590</t>
    <phoneticPr fontId="1" type="noConversion"/>
  </si>
  <si>
    <t>garsegar_0</t>
  </si>
  <si>
    <t>Nancy segars</t>
  </si>
  <si>
    <t>gsegarsjr@gmail.com</t>
  </si>
  <si>
    <t>+1 267-683-1218</t>
  </si>
  <si>
    <t>joru-9552</t>
  </si>
  <si>
    <t>Jose Ruiz</t>
  </si>
  <si>
    <t>ruizjns@gmail.com</t>
  </si>
  <si>
    <t>+1 443-271-7361</t>
  </si>
  <si>
    <t>johjohn_0917</t>
  </si>
  <si>
    <t>Shyrl Johnson</t>
  </si>
  <si>
    <t>johnsongirl20@gmail.com</t>
  </si>
  <si>
    <t>+1 334-453-0917</t>
  </si>
  <si>
    <t>chanmitc-217</t>
  </si>
  <si>
    <t>Chandani Mitchell</t>
  </si>
  <si>
    <t>chandani.m@hotmail.com</t>
  </si>
  <si>
    <t>+1 478-213-4563</t>
  </si>
  <si>
    <t>busti_rebec</t>
  </si>
  <si>
    <t>Rebecca Bustillos</t>
  </si>
  <si>
    <t>mamabecky77@gmail.com</t>
  </si>
  <si>
    <t>+1 805-233-1857</t>
  </si>
  <si>
    <t>Intex Adapter B x 4</t>
    <phoneticPr fontId="1" type="noConversion"/>
  </si>
  <si>
    <t xml:space="preserve">9400116901628797188847
</t>
    <phoneticPr fontId="1" type="noConversion"/>
  </si>
  <si>
    <t>9361289678092667721683</t>
    <phoneticPr fontId="1" type="noConversion"/>
  </si>
  <si>
    <t>9361289697091096075140</t>
    <phoneticPr fontId="1" type="noConversion"/>
  </si>
  <si>
    <t>395463456280</t>
    <phoneticPr fontId="1" type="noConversion"/>
  </si>
  <si>
    <t>9205590213423822910052</t>
    <phoneticPr fontId="1" type="noConversion"/>
  </si>
  <si>
    <t>1Z6A37320301752198</t>
  </si>
  <si>
    <t>TBA109286687401</t>
  </si>
  <si>
    <t>9374889687090918321754</t>
    <phoneticPr fontId="1" type="noConversion"/>
  </si>
  <si>
    <t>4209538092748927005455000029716143</t>
    <phoneticPr fontId="1" type="noConversion"/>
  </si>
  <si>
    <t>ASS</t>
    <phoneticPr fontId="1" type="noConversion"/>
  </si>
  <si>
    <t>8017530728007564</t>
    <phoneticPr fontId="1" type="noConversion"/>
  </si>
  <si>
    <t>Aug28</t>
    <phoneticPr fontId="1" type="noConversion"/>
  </si>
  <si>
    <t>diazc6 --------------------------- PR</t>
    <phoneticPr fontId="1" type="noConversion"/>
  </si>
  <si>
    <t>111-5401083-0729023</t>
  </si>
  <si>
    <t>Aug07-23</t>
    <phoneticPr fontId="1" type="noConversion"/>
  </si>
  <si>
    <t>Abraham Scifo</t>
    <phoneticPr fontId="1" type="noConversion"/>
  </si>
  <si>
    <t>111-0379781-9289036</t>
  </si>
  <si>
    <t>Sims</t>
    <phoneticPr fontId="1" type="noConversion"/>
  </si>
  <si>
    <t>111-4623001-3417810</t>
  </si>
  <si>
    <t>shrek09raul ---------------------- PR</t>
    <phoneticPr fontId="1" type="noConversion"/>
  </si>
  <si>
    <t>jortiz_gamez ---------- Cancelled</t>
    <phoneticPr fontId="1" type="noConversion"/>
  </si>
  <si>
    <t>Intex 1.50 Hose X 2</t>
    <phoneticPr fontId="1" type="noConversion"/>
  </si>
  <si>
    <t>Turtle Metal Plate X 3</t>
    <phoneticPr fontId="1" type="noConversion"/>
  </si>
  <si>
    <t>SeasonWide</t>
    <phoneticPr fontId="1" type="noConversion"/>
  </si>
  <si>
    <t>Intex 1.50 hose X 2</t>
    <phoneticPr fontId="1" type="noConversion"/>
  </si>
  <si>
    <t>anitac95</t>
  </si>
  <si>
    <t>Anita Curry</t>
  </si>
  <si>
    <t>sexicobragirl@gmail.com</t>
  </si>
  <si>
    <t>+1 443-798-1172</t>
  </si>
  <si>
    <t>Turtle Metal X 3</t>
    <phoneticPr fontId="1" type="noConversion"/>
  </si>
  <si>
    <t>mlr5kids</t>
  </si>
  <si>
    <t>Muneerah Rashid</t>
  </si>
  <si>
    <t>mlr6kids@gmail.com</t>
  </si>
  <si>
    <t>+1 248-497-0923</t>
  </si>
  <si>
    <t>jennat661</t>
  </si>
  <si>
    <t>Javier</t>
  </si>
  <si>
    <t>jenna29_@hotmail.com</t>
  </si>
  <si>
    <t>+1 661-878-2477</t>
  </si>
  <si>
    <t>silvanmediz_0</t>
  </si>
  <si>
    <t>Silvana Mediza</t>
  </si>
  <si>
    <t>silmed_2@hotmail.com</t>
  </si>
  <si>
    <t>+1 201-539-6414</t>
  </si>
  <si>
    <t>111-3280648-8527453</t>
  </si>
  <si>
    <t>111-5298606-9755468</t>
  </si>
  <si>
    <t>111-8016732-0764226</t>
  </si>
  <si>
    <t>connerc1988</t>
  </si>
  <si>
    <t>chad conner</t>
  </si>
  <si>
    <t>connerc63@yahoo.com</t>
  </si>
  <si>
    <t>+1 607-382-9478</t>
  </si>
  <si>
    <t>111-7874741-0572208</t>
  </si>
  <si>
    <t>Aug09</t>
    <phoneticPr fontId="1" type="noConversion"/>
  </si>
  <si>
    <t>111-9535260-7204255</t>
  </si>
  <si>
    <t xml:space="preserve">111-9020572-3853860 </t>
  </si>
  <si>
    <t>lpickens1968</t>
  </si>
  <si>
    <t>Leland Pickens</t>
  </si>
  <si>
    <t>lpickens@frontier.com</t>
  </si>
  <si>
    <t>+1 304-642-4542</t>
  </si>
  <si>
    <t>111-6703959-1916231</t>
  </si>
  <si>
    <t>#TC1047</t>
  </si>
  <si>
    <t>man2man5678 ----------------- VI</t>
    <phoneticPr fontId="1" type="noConversion"/>
  </si>
  <si>
    <t>#TC1048</t>
  </si>
  <si>
    <t>111-0406989-6677026</t>
  </si>
  <si>
    <t>111-7425898-6094638</t>
  </si>
  <si>
    <t>2babiestwins</t>
  </si>
  <si>
    <t>Aaron Robinson</t>
  </si>
  <si>
    <t>arobi24989@att.net</t>
  </si>
  <si>
    <t>+1 915-203-3796</t>
  </si>
  <si>
    <t>reyenorm</t>
  </si>
  <si>
    <t>Angel Ramos</t>
  </si>
  <si>
    <t>Summer Wave Stopper</t>
    <phoneticPr fontId="1" type="noConversion"/>
  </si>
  <si>
    <t>norma.reyes52@hotmail.com</t>
  </si>
  <si>
    <t>+1 407-715-8675</t>
  </si>
  <si>
    <t>SW Stopper</t>
    <phoneticPr fontId="1" type="noConversion"/>
  </si>
  <si>
    <t>111-0297219-7669867</t>
  </si>
  <si>
    <t>Aug17-20</t>
    <phoneticPr fontId="1" type="noConversion"/>
  </si>
  <si>
    <t xml:space="preserve">111-8927023-2592234 </t>
  </si>
  <si>
    <t>davison0362</t>
  </si>
  <si>
    <t>David Matías</t>
  </si>
  <si>
    <t>matias0322@yahoo.com</t>
  </si>
  <si>
    <t>+1 787-354-0708</t>
  </si>
  <si>
    <t>mariesteed@live.com</t>
  </si>
  <si>
    <t>+1 928-875-2587</t>
  </si>
  <si>
    <t>Adapter A ( SingleAx2 )</t>
    <phoneticPr fontId="1" type="noConversion"/>
  </si>
  <si>
    <t>111-5593002-5593004</t>
  </si>
  <si>
    <t>111-4864643-2755440</t>
  </si>
  <si>
    <t>111-4160355-5885041</t>
  </si>
  <si>
    <t>111-3048258-2173862</t>
  </si>
  <si>
    <t>Aug14-20</t>
    <phoneticPr fontId="1" type="noConversion"/>
  </si>
  <si>
    <t>jubie4543@gmail.com</t>
  </si>
  <si>
    <t>+1 614-537-7579</t>
  </si>
  <si>
    <t>US Weight Fillable 20lb</t>
    <phoneticPr fontId="1" type="noConversion"/>
  </si>
  <si>
    <t>battlestarq</t>
  </si>
  <si>
    <t>Mark Que</t>
  </si>
  <si>
    <t>420barista@gmail.com</t>
  </si>
  <si>
    <t>+1 631-902-0102</t>
  </si>
  <si>
    <t>111-5191522-5062652</t>
  </si>
  <si>
    <t>Adapter B x 4</t>
    <phoneticPr fontId="1" type="noConversion"/>
  </si>
  <si>
    <t>kpkphoenix1122</t>
    <phoneticPr fontId="1" type="noConversion"/>
  </si>
  <si>
    <t>Kevin Kelley -- NF</t>
    <phoneticPr fontId="1" type="noConversion"/>
  </si>
  <si>
    <t>carol linares</t>
    <phoneticPr fontId="1" type="noConversion"/>
  </si>
  <si>
    <t>111-6495489-0206607</t>
  </si>
  <si>
    <t>9374889687090918775687</t>
    <phoneticPr fontId="1" type="noConversion"/>
  </si>
  <si>
    <t>1Z2X655F0165070654</t>
  </si>
  <si>
    <t>TBA110025320501</t>
  </si>
  <si>
    <t>TBA109958828801</t>
  </si>
  <si>
    <t>Aug05 Del</t>
    <phoneticPr fontId="1" type="noConversion"/>
  </si>
  <si>
    <t>1Z885V7Y0396245951</t>
  </si>
  <si>
    <t>TBA110182676401</t>
  </si>
  <si>
    <t>9374889727009080456635</t>
    <phoneticPr fontId="1" type="noConversion"/>
  </si>
  <si>
    <t>9361289689090527983024</t>
    <phoneticPr fontId="1" type="noConversion"/>
  </si>
  <si>
    <t>9374889700090690984055</t>
    <phoneticPr fontId="1" type="noConversion"/>
  </si>
  <si>
    <t>9374889685090745211688</t>
    <phoneticPr fontId="1" type="noConversion"/>
  </si>
  <si>
    <t>Aug07 Del</t>
    <phoneticPr fontId="1" type="noConversion"/>
  </si>
  <si>
    <t>9361289685090822370868</t>
    <phoneticPr fontId="1" type="noConversion"/>
  </si>
  <si>
    <t>9374889683090571797402</t>
    <phoneticPr fontId="1" type="noConversion"/>
  </si>
  <si>
    <t>TBA110661313801</t>
  </si>
  <si>
    <t>Aug06 Del</t>
    <phoneticPr fontId="1" type="noConversion"/>
  </si>
  <si>
    <t>Aug06 Del</t>
    <phoneticPr fontId="1" type="noConversion"/>
  </si>
  <si>
    <t>1ZE24A620383965506</t>
  </si>
  <si>
    <t>SO18069601</t>
    <phoneticPr fontId="1" type="noConversion"/>
  </si>
  <si>
    <t>1Z5937E30343951244</t>
  </si>
  <si>
    <t>SO18028936</t>
  </si>
  <si>
    <t>1Z5937E30344335211</t>
    <phoneticPr fontId="1" type="noConversion"/>
  </si>
  <si>
    <t>TBA111098871001</t>
  </si>
  <si>
    <t>SO18098247</t>
  </si>
  <si>
    <t>Curtain - Virgin Mary</t>
    <phoneticPr fontId="1" type="noConversion"/>
  </si>
  <si>
    <t>micha-of8pfqx2</t>
  </si>
  <si>
    <t>Mike McGregor</t>
  </si>
  <si>
    <t>pinoyloco21@gmail.com</t>
  </si>
  <si>
    <t>+1 719-306-1731</t>
  </si>
  <si>
    <t>AbeadedCurtain</t>
    <phoneticPr fontId="1" type="noConversion"/>
  </si>
  <si>
    <t>izeta_s</t>
  </si>
  <si>
    <t>Santos Izeta</t>
  </si>
  <si>
    <t>izeta.santos@yahoo.com</t>
  </si>
  <si>
    <t>+1 830-461-2264</t>
  </si>
  <si>
    <t>SO18102130</t>
  </si>
  <si>
    <t>tracykent</t>
  </si>
  <si>
    <t>Tracy Bottjer</t>
  </si>
  <si>
    <t>tracy8@frontiernet.net</t>
  </si>
  <si>
    <t>+1 251-359-5956</t>
  </si>
  <si>
    <t>Give Trk Aug07</t>
    <phoneticPr fontId="1" type="noConversion"/>
  </si>
  <si>
    <t>Leaf Rake</t>
    <phoneticPr fontId="1" type="noConversion"/>
  </si>
  <si>
    <t>111-3347473-6187448</t>
  </si>
  <si>
    <t>111-4209547-8508209</t>
  </si>
  <si>
    <t>111-8064000-5189849</t>
  </si>
  <si>
    <t>111-5841941-9916269</t>
  </si>
  <si>
    <t>111-2204662-6721031</t>
  </si>
  <si>
    <t>Fast Shipped Shop</t>
    <phoneticPr fontId="1" type="noConversion"/>
  </si>
  <si>
    <t>Aug18-20</t>
    <phoneticPr fontId="1" type="noConversion"/>
  </si>
  <si>
    <t>1Z175Y3W0304352857</t>
  </si>
  <si>
    <t>Aug13</t>
    <phoneticPr fontId="1" type="noConversion"/>
  </si>
  <si>
    <t>juacarlolope</t>
  </si>
  <si>
    <t>Carlos Lopez</t>
  </si>
  <si>
    <t>+1 843-476-1974</t>
  </si>
  <si>
    <t>111-3073870-5697062</t>
  </si>
  <si>
    <t>TBA111221908501</t>
  </si>
  <si>
    <t>9400116901628797186485</t>
    <phoneticPr fontId="1" type="noConversion"/>
  </si>
  <si>
    <t>9400116901628797186492</t>
    <phoneticPr fontId="1" type="noConversion"/>
  </si>
  <si>
    <t>9400116901628797186423</t>
    <phoneticPr fontId="1" type="noConversion"/>
  </si>
  <si>
    <t>1Z6W75630330483158</t>
  </si>
  <si>
    <t>9400116901586704687350</t>
    <phoneticPr fontId="1" type="noConversion"/>
  </si>
  <si>
    <t>1Z82AY190305058216</t>
    <phoneticPr fontId="1" type="noConversion"/>
  </si>
  <si>
    <t>1Z97626F1359785974</t>
  </si>
  <si>
    <t>Aug08 Del</t>
    <phoneticPr fontId="1" type="noConversion"/>
  </si>
  <si>
    <t>9361289687091040434293</t>
    <phoneticPr fontId="1" type="noConversion"/>
  </si>
  <si>
    <t>111-8474309-2408223</t>
  </si>
  <si>
    <t>111-2649373-1017817</t>
  </si>
  <si>
    <t>111-8161689-7770606</t>
  </si>
  <si>
    <t>9400116901623138620918</t>
    <phoneticPr fontId="1" type="noConversion"/>
  </si>
  <si>
    <t>Aug05 Del 03</t>
    <phoneticPr fontId="1" type="noConversion"/>
  </si>
  <si>
    <t>9374889683090570118840</t>
    <phoneticPr fontId="1" type="noConversion"/>
  </si>
  <si>
    <t>1ZY4V2960363235472</t>
  </si>
  <si>
    <t>9400109205568748053105</t>
    <phoneticPr fontId="1" type="noConversion"/>
  </si>
  <si>
    <t>Intex 10747+25009</t>
    <phoneticPr fontId="1" type="noConversion"/>
  </si>
  <si>
    <t>TAC Curtain - Color Wave</t>
    <phoneticPr fontId="1" type="noConversion"/>
  </si>
  <si>
    <t>jayp-9490</t>
  </si>
  <si>
    <t>Pedro Barrios</t>
  </si>
  <si>
    <t>jayped14@yahoo.com</t>
  </si>
  <si>
    <t>+1 813-217-3446</t>
  </si>
  <si>
    <t>10747+25009</t>
    <phoneticPr fontId="1" type="noConversion"/>
  </si>
  <si>
    <t>lettybauman@sbcglobal.net</t>
  </si>
  <si>
    <t>+1 314-771-5026</t>
  </si>
  <si>
    <t>25 Model 75 pcs</t>
    <phoneticPr fontId="1" type="noConversion"/>
  </si>
  <si>
    <t>25 Model 75 pcs</t>
    <phoneticPr fontId="1" type="noConversion"/>
  </si>
  <si>
    <t>delgadochelo73</t>
  </si>
  <si>
    <t>DELGADO DIAZ,JOSE A</t>
  </si>
  <si>
    <t>delgadochelo@yahoo.com</t>
  </si>
  <si>
    <t>+1 787-909-4582</t>
  </si>
  <si>
    <t>111-3082069-2757802</t>
  </si>
  <si>
    <t>111-4310926-0361853</t>
  </si>
  <si>
    <t>111-4199008-6233825</t>
  </si>
  <si>
    <t>GPFS</t>
    <phoneticPr fontId="1" type="noConversion"/>
  </si>
  <si>
    <t>111-9126485-5094601</t>
  </si>
  <si>
    <t>111-0020432-4830679</t>
  </si>
  <si>
    <t>Amazin:)</t>
    <phoneticPr fontId="1" type="noConversion"/>
  </si>
  <si>
    <t>Aug18-21</t>
    <phoneticPr fontId="1" type="noConversion"/>
  </si>
  <si>
    <t>111-7392333-4929024</t>
  </si>
  <si>
    <t>111-2037325-8965829</t>
  </si>
  <si>
    <t>111-1231340-0942610</t>
  </si>
  <si>
    <t>Aug19</t>
    <phoneticPr fontId="1" type="noConversion"/>
  </si>
  <si>
    <t>nicholasschmitt12</t>
  </si>
  <si>
    <t>Nicholas Schmitt</t>
  </si>
  <si>
    <t>oscacamach-62</t>
  </si>
  <si>
    <t>oscar camacho</t>
  </si>
  <si>
    <t>oscar.iiwii@yahoo.com</t>
  </si>
  <si>
    <t>+1 561-767-1755</t>
  </si>
  <si>
    <t>Intex Debris Bag X2</t>
    <phoneticPr fontId="1" type="noConversion"/>
  </si>
  <si>
    <t>tjjazzydj</t>
  </si>
  <si>
    <t>tj hamme</t>
  </si>
  <si>
    <t>tjjazzydj@hotmail.com</t>
  </si>
  <si>
    <t>+1 910-547-5753</t>
  </si>
  <si>
    <t>Plano Tote 56 QT -- Black</t>
    <phoneticPr fontId="1" type="noConversion"/>
  </si>
  <si>
    <t>lyn122200</t>
  </si>
  <si>
    <t>lyndon miller</t>
  </si>
  <si>
    <t>millerlyndon6@gmail.com</t>
  </si>
  <si>
    <t>+1 574-202-2920</t>
  </si>
  <si>
    <t>56 QT</t>
    <phoneticPr fontId="1" type="noConversion"/>
  </si>
  <si>
    <t>Sterilite Footlocker</t>
    <phoneticPr fontId="1" type="noConversion"/>
  </si>
  <si>
    <t>Kim Houston</t>
  </si>
  <si>
    <t>kandlcpr@gmail.com</t>
  </si>
  <si>
    <t>+1 562-296-7929</t>
  </si>
  <si>
    <t>2utmsutro</t>
  </si>
  <si>
    <t>T Lamarre</t>
  </si>
  <si>
    <t>tlamarre@hotmail.com</t>
  </si>
  <si>
    <t>+1 415-964-7722</t>
  </si>
  <si>
    <t>Steriliate Footlocker</t>
    <phoneticPr fontId="1" type="noConversion"/>
  </si>
  <si>
    <t>Modern Vitality</t>
  </si>
  <si>
    <t>toyota1996robert</t>
  </si>
  <si>
    <t>robert edwards</t>
  </si>
  <si>
    <t>robertpedwards@gmail.com</t>
  </si>
  <si>
    <t>+1 864-353-8489</t>
  </si>
  <si>
    <t>111-5396045-3512200</t>
  </si>
  <si>
    <t xml:space="preserve">Amazin:) </t>
  </si>
  <si>
    <t>Aug19-21</t>
    <phoneticPr fontId="1" type="noConversion"/>
  </si>
  <si>
    <t>shakirealevattm0</t>
  </si>
  <si>
    <t>Shakirea LeVatte</t>
  </si>
  <si>
    <t>shakirealevatte@rocketmail.com</t>
  </si>
  <si>
    <t>+1 229-336-3620</t>
  </si>
  <si>
    <t>gygasound2020@gmail.com</t>
  </si>
  <si>
    <t>+1 815-295-7708</t>
  </si>
  <si>
    <t>1Z3YE9030382717421</t>
  </si>
  <si>
    <t>TBA112147324501</t>
  </si>
  <si>
    <t>TBA112250558001</t>
  </si>
  <si>
    <t>TBA112073487201</t>
  </si>
  <si>
    <t>TBA112193153701</t>
  </si>
  <si>
    <t>TBA244131435000</t>
  </si>
  <si>
    <t>Aug09-11 late</t>
    <phoneticPr fontId="1" type="noConversion"/>
  </si>
  <si>
    <t xml:space="preserve">9374889700090693161057
</t>
    <phoneticPr fontId="1" type="noConversion"/>
  </si>
  <si>
    <t>9400111899220739787999</t>
    <phoneticPr fontId="1" type="noConversion"/>
  </si>
  <si>
    <t>9374889684090901375088</t>
    <phoneticPr fontId="1" type="noConversion"/>
  </si>
  <si>
    <t>Aug09 Del</t>
    <phoneticPr fontId="1" type="noConversion"/>
  </si>
  <si>
    <t>1Z10A05R0327967120</t>
  </si>
  <si>
    <t>1Z10A05R0344544545</t>
  </si>
  <si>
    <t>TBA112906282601</t>
  </si>
  <si>
    <t>1Z81RF110240713595</t>
    <phoneticPr fontId="1" type="noConversion"/>
  </si>
  <si>
    <t xml:space="preserve">9374889675090945417494
</t>
    <phoneticPr fontId="1" type="noConversion"/>
  </si>
  <si>
    <t>TBA112637299301</t>
  </si>
  <si>
    <t>gygaso-15</t>
  </si>
  <si>
    <t>Agustin Esparza</t>
  </si>
  <si>
    <t xml:space="preserve">111-3274893-6376251 </t>
  </si>
  <si>
    <t>Aug20-22</t>
    <phoneticPr fontId="1" type="noConversion"/>
  </si>
  <si>
    <t>In Stock Aug24</t>
    <phoneticPr fontId="1" type="noConversion"/>
  </si>
  <si>
    <t>SO18130151</t>
  </si>
  <si>
    <t>SO18130430</t>
  </si>
  <si>
    <t>OS</t>
    <phoneticPr fontId="1" type="noConversion"/>
  </si>
  <si>
    <t xml:space="preserve">SO18130290 </t>
  </si>
  <si>
    <t>111-4717411-0359456</t>
  </si>
  <si>
    <t>111-1794634-0101052</t>
  </si>
  <si>
    <t>kand_755 ------------- Cancelled</t>
    <phoneticPr fontId="1" type="noConversion"/>
  </si>
  <si>
    <t>TBA112881134501</t>
  </si>
  <si>
    <t>Del 10</t>
    <phoneticPr fontId="1" type="noConversion"/>
  </si>
  <si>
    <t>9205590213426206836535</t>
    <phoneticPr fontId="1" type="noConversion"/>
  </si>
  <si>
    <t>Intex 25003 OR Set</t>
    <phoneticPr fontId="1" type="noConversion"/>
  </si>
  <si>
    <t>travichapi1</t>
  </si>
  <si>
    <t>Stella Chapie</t>
  </si>
  <si>
    <t>chapieit@gmail.com</t>
  </si>
  <si>
    <t>+1 636-495-3546</t>
  </si>
  <si>
    <t>elizgri-9448</t>
  </si>
  <si>
    <t>Elizabeth Griffin</t>
  </si>
  <si>
    <t>egargoylegriffin18@gmail.com</t>
  </si>
  <si>
    <t>+1 918-671-2799</t>
  </si>
  <si>
    <t>Intex 1.5 X 2</t>
    <phoneticPr fontId="1" type="noConversion"/>
  </si>
  <si>
    <t>Sheffield - Ammo Box - Grey</t>
    <phoneticPr fontId="1" type="noConversion"/>
  </si>
  <si>
    <t>dra.rda.bcquwxuixe</t>
  </si>
  <si>
    <t>David Rabinette</t>
  </si>
  <si>
    <t>drabbitt25@gmail.com</t>
  </si>
  <si>
    <t>+1 989-598-6874</t>
  </si>
  <si>
    <t>iaquad4</t>
  </si>
  <si>
    <t>Imalier Abreu</t>
  </si>
  <si>
    <t>ia_cars@hotmail.com</t>
  </si>
  <si>
    <t>+1 787-612-2795</t>
  </si>
  <si>
    <t>SW Water Stopper</t>
    <phoneticPr fontId="1" type="noConversion"/>
  </si>
  <si>
    <t>Sheffield Ammo Grey</t>
    <phoneticPr fontId="1" type="noConversion"/>
  </si>
  <si>
    <t>robert geiler</t>
  </si>
  <si>
    <t>Intex 10127 Stopper</t>
    <phoneticPr fontId="1" type="noConversion"/>
  </si>
  <si>
    <t>robertgeiler22@gmail.com</t>
  </si>
  <si>
    <t>+1 913-256-9132</t>
  </si>
  <si>
    <t>Intex 10127</t>
    <phoneticPr fontId="1" type="noConversion"/>
  </si>
  <si>
    <t>Intex 25013 OR Full Set</t>
    <phoneticPr fontId="1" type="noConversion"/>
  </si>
  <si>
    <t>guilpe-4620</t>
  </si>
  <si>
    <t>Guillermo Perez</t>
  </si>
  <si>
    <t>guillermo.perez.cuba@gmail.com</t>
  </si>
  <si>
    <t>+1 787-475-7919</t>
  </si>
  <si>
    <t>Intex 25013 OR</t>
    <phoneticPr fontId="1" type="noConversion"/>
  </si>
  <si>
    <t>richyuru08</t>
  </si>
  <si>
    <t>RICHARD ROSMARINO</t>
  </si>
  <si>
    <t>Intex 25076RP HENMI</t>
    <phoneticPr fontId="1" type="noConversion"/>
  </si>
  <si>
    <t>richy0808@hotmail.com</t>
  </si>
  <si>
    <t>+1 914-490-5570</t>
  </si>
  <si>
    <t>eduardoandresvilla</t>
  </si>
  <si>
    <t>Eduardo Villa</t>
  </si>
  <si>
    <t>84villa@gmail.com</t>
  </si>
  <si>
    <t>+1 973-980-8588</t>
  </si>
  <si>
    <t>Intex Hose 1.5 X 2</t>
    <phoneticPr fontId="1" type="noConversion"/>
  </si>
  <si>
    <t>8018066339717564</t>
    <phoneticPr fontId="1" type="noConversion"/>
  </si>
  <si>
    <t>Sep08</t>
    <phoneticPr fontId="1" type="noConversion"/>
  </si>
  <si>
    <t>robgei-44 ------------------- Hawaii</t>
    <phoneticPr fontId="1" type="noConversion"/>
  </si>
  <si>
    <t>111-2442436-7725857</t>
  </si>
  <si>
    <t>Aug19-25</t>
    <phoneticPr fontId="1" type="noConversion"/>
  </si>
  <si>
    <t>SUMMER STORE SHIP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</si>
</sst>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dd\-mmm\-yy"/>
    <numFmt numFmtId="177" formatCode="0.00_ "/>
    <numFmt numFmtId="178" formatCode="0.0000_ "/>
    <numFmt numFmtId="179" formatCode="0_ "/>
  </numFmts>
  <fonts count="3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color theme="1"/>
      <name val="Arial Unicode MS"/>
      <family val="2"/>
      <charset val="136"/>
    </font>
    <font>
      <sz val="11"/>
      <color rgb="FF333333"/>
      <name val="Arial"/>
      <family val="2"/>
    </font>
    <font>
      <sz val="10"/>
      <color rgb="FFFF0000"/>
      <name val="Arial Unicode MS"/>
      <family val="2"/>
      <charset val="136"/>
    </font>
    <font>
      <sz val="10"/>
      <color rgb="FF111111"/>
      <name val="Arial"/>
      <family val="2"/>
    </font>
    <font>
      <sz val="9"/>
      <color rgb="FF555555"/>
      <name val="Arial"/>
      <family val="2"/>
    </font>
    <font>
      <sz val="10"/>
      <color rgb="FFC00000"/>
      <name val="Arial Unicode MS"/>
      <family val="2"/>
      <charset val="136"/>
    </font>
    <font>
      <sz val="10"/>
      <name val="Arial Unicode MS"/>
      <family val="2"/>
      <charset val="136"/>
    </font>
    <font>
      <sz val="9"/>
      <name val="Arial"/>
      <family val="2"/>
    </font>
    <font>
      <sz val="8"/>
      <color theme="1"/>
      <name val="Arial Unicode MS"/>
      <family val="2"/>
      <charset val="136"/>
    </font>
    <font>
      <sz val="9"/>
      <color rgb="FF333333"/>
      <name val="Arial"/>
      <family val="2"/>
    </font>
    <font>
      <b/>
      <sz val="8"/>
      <color rgb="FF00B0F0"/>
      <name val="Arial Unicode MS"/>
      <family val="2"/>
      <charset val="136"/>
    </font>
    <font>
      <sz val="9"/>
      <color theme="1"/>
      <name val="Arial Unicode MS"/>
      <family val="2"/>
      <charset val="136"/>
    </font>
    <font>
      <sz val="10"/>
      <color theme="9"/>
      <name val="Arial Unicode MS"/>
      <family val="2"/>
      <charset val="136"/>
    </font>
    <font>
      <b/>
      <sz val="10"/>
      <color rgb="FF00B050"/>
      <name val="Arial Unicode MS"/>
      <family val="2"/>
      <charset val="136"/>
    </font>
    <font>
      <b/>
      <sz val="10"/>
      <color rgb="FFFF0000"/>
      <name val="Arial Unicode MS"/>
      <family val="2"/>
      <charset val="136"/>
    </font>
    <font>
      <b/>
      <sz val="8"/>
      <color rgb="FF00B050"/>
      <name val="Arial Unicode MS"/>
      <family val="2"/>
      <charset val="136"/>
    </font>
    <font>
      <sz val="9"/>
      <color rgb="FF000000"/>
      <name val="Arial"/>
      <family val="2"/>
    </font>
    <font>
      <b/>
      <sz val="10"/>
      <color rgb="FFC00000"/>
      <name val="Arial Unicode MS"/>
      <family val="2"/>
      <charset val="136"/>
    </font>
    <font>
      <sz val="8"/>
      <color rgb="FFFF0000"/>
      <name val="Arial Unicode MS"/>
      <family val="2"/>
      <charset val="136"/>
    </font>
    <font>
      <b/>
      <sz val="11"/>
      <color rgb="FF000000"/>
      <name val="Arial"/>
      <family val="2"/>
    </font>
    <font>
      <b/>
      <sz val="10"/>
      <color rgb="FF111111"/>
      <name val="Arial"/>
      <family val="2"/>
    </font>
    <font>
      <sz val="10"/>
      <color rgb="FF00B050"/>
      <name val="Arial Unicode MS"/>
      <family val="2"/>
      <charset val="136"/>
    </font>
    <font>
      <sz val="10"/>
      <color rgb="FF111111"/>
      <name val="Arial Unicode MS"/>
      <family val="2"/>
      <charset val="136"/>
    </font>
    <font>
      <sz val="9"/>
      <color theme="1"/>
      <name val="Arial"/>
      <family val="2"/>
    </font>
    <font>
      <sz val="8"/>
      <color rgb="FF00B0F0"/>
      <name val="Arial Unicode MS"/>
      <family val="2"/>
      <charset val="136"/>
    </font>
    <font>
      <sz val="10"/>
      <color rgb="FF00B0F0"/>
      <name val="Arial Unicode MS"/>
      <family val="2"/>
      <charset val="136"/>
    </font>
    <font>
      <sz val="9"/>
      <color rgb="FF00B0F0"/>
      <name val="Arial Unicode MS"/>
      <family val="2"/>
      <charset val="136"/>
    </font>
    <font>
      <sz val="11"/>
      <color rgb="FF231F20"/>
      <name val="Arial"/>
      <family val="2"/>
    </font>
    <font>
      <sz val="10"/>
      <color rgb="FF0070C0"/>
      <name val="Arial Unicode MS"/>
      <family val="2"/>
      <charset val="136"/>
    </font>
    <font>
      <sz val="9"/>
      <color rgb="FFFF0000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2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quotePrefix="1" applyFont="1">
      <alignment vertical="center"/>
    </xf>
    <xf numFmtId="22" fontId="3" fillId="0" borderId="0" xfId="0" quotePrefix="1" applyNumberFormat="1" applyFont="1">
      <alignment vertical="center"/>
    </xf>
    <xf numFmtId="0" fontId="12" fillId="0" borderId="0" xfId="0" quotePrefix="1" applyFont="1">
      <alignment vertical="center"/>
    </xf>
    <xf numFmtId="16" fontId="3" fillId="0" borderId="0" xfId="0" quotePrefix="1" applyNumberFormat="1" applyFont="1">
      <alignment vertical="center"/>
    </xf>
    <xf numFmtId="0" fontId="13" fillId="0" borderId="0" xfId="0" applyFont="1">
      <alignment vertical="center"/>
    </xf>
    <xf numFmtId="16" fontId="3" fillId="0" borderId="0" xfId="0" applyNumberFormat="1" applyFont="1">
      <alignment vertical="center"/>
    </xf>
    <xf numFmtId="0" fontId="3" fillId="0" borderId="0" xfId="0" quotePrefix="1" applyFont="1" applyAlignment="1">
      <alignment vertical="center" wrapTex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179" fontId="3" fillId="0" borderId="0" xfId="0" applyNumberFormat="1" applyFo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77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quotePrefix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16" fontId="5" fillId="0" borderId="0" xfId="0" quotePrefix="1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8" fillId="0" borderId="0" xfId="0" applyFont="1">
      <alignment vertical="center"/>
    </xf>
    <xf numFmtId="0" fontId="22" fillId="0" borderId="0" xfId="0" quotePrefix="1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31" fillId="0" borderId="0" xfId="0" applyFont="1">
      <alignment vertical="center"/>
    </xf>
    <xf numFmtId="0" fontId="9" fillId="0" borderId="0" xfId="0" quotePrefix="1" applyFont="1">
      <alignment vertical="center"/>
    </xf>
    <xf numFmtId="0" fontId="3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F1743"/>
  <sheetViews>
    <sheetView tabSelected="1" topLeftCell="AG1" workbookViewId="0">
      <pane ySplit="975" activePane="bottomLeft"/>
      <selection activeCell="E371" sqref="E371"/>
      <selection pane="bottomLeft" activeCell="AP5" sqref="AP5"/>
    </sheetView>
  </sheetViews>
  <sheetFormatPr defaultRowHeight="16.5"/>
  <cols>
    <col min="1" max="1" width="1.25" customWidth="1"/>
    <col min="2" max="2" width="2.875" customWidth="1"/>
    <col min="3" max="3" width="8.375" customWidth="1"/>
    <col min="4" max="4" width="1" customWidth="1"/>
    <col min="5" max="5" width="22.125" customWidth="1"/>
    <col min="6" max="6" width="2.875" customWidth="1"/>
    <col min="7" max="7" width="15.375" customWidth="1"/>
    <col min="8" max="8" width="23.625" customWidth="1"/>
    <col min="9" max="9" width="0.625" customWidth="1"/>
    <col min="10" max="10" width="3.625" customWidth="1"/>
    <col min="11" max="11" width="3.5" customWidth="1"/>
    <col min="12" max="12" width="5.75" customWidth="1"/>
    <col min="13" max="13" width="5.5" customWidth="1"/>
    <col min="14" max="14" width="6.125" customWidth="1"/>
    <col min="15" max="15" width="4" customWidth="1"/>
    <col min="16" max="16" width="5.125" customWidth="1"/>
    <col min="17" max="17" width="6.125" customWidth="1"/>
    <col min="18" max="18" width="1.25" customWidth="1"/>
    <col min="19" max="19" width="6.125" customWidth="1"/>
    <col min="20" max="21" width="5.25" customWidth="1"/>
    <col min="22" max="22" width="3" customWidth="1"/>
    <col min="23" max="23" width="5.125" customWidth="1"/>
    <col min="24" max="24" width="5.875" customWidth="1"/>
    <col min="25" max="25" width="7.5" customWidth="1"/>
    <col min="26" max="26" width="7.125" customWidth="1"/>
    <col min="27" max="27" width="4.25" customWidth="1"/>
    <col min="28" max="28" width="1.5" customWidth="1"/>
    <col min="29" max="29" width="1.75" customWidth="1"/>
    <col min="30" max="30" width="1.25" customWidth="1"/>
    <col min="31" max="31" width="2" customWidth="1"/>
    <col min="32" max="32" width="1.75" customWidth="1"/>
    <col min="33" max="33" width="3.375" customWidth="1"/>
    <col min="34" max="34" width="13.75" customWidth="1"/>
    <col min="35" max="35" width="20" customWidth="1"/>
    <col min="37" max="37" width="4.625" customWidth="1"/>
    <col min="38" max="38" width="6.5" customWidth="1"/>
    <col min="39" max="39" width="21.25" customWidth="1"/>
    <col min="40" max="40" width="3.125" customWidth="1"/>
    <col min="41" max="41" width="17.5" customWidth="1"/>
    <col min="42" max="42" width="14.75" customWidth="1"/>
    <col min="43" max="43" width="16.125" customWidth="1"/>
    <col min="44" max="44" width="10.625" customWidth="1"/>
    <col min="45" max="45" width="11.25" customWidth="1"/>
    <col min="46" max="46" width="12.5" customWidth="1"/>
    <col min="47" max="47" width="29.125" customWidth="1"/>
  </cols>
  <sheetData>
    <row r="2" spans="3:58" ht="17.25" customHeight="1">
      <c r="E2" s="2" t="s">
        <v>3</v>
      </c>
      <c r="F2" s="15" t="s">
        <v>3903</v>
      </c>
      <c r="G2" s="2" t="s">
        <v>1</v>
      </c>
      <c r="H2" s="2" t="s">
        <v>2</v>
      </c>
      <c r="I2" s="2"/>
      <c r="J2" s="2" t="s">
        <v>4886</v>
      </c>
      <c r="K2" s="2"/>
      <c r="L2" s="3" t="s">
        <v>8</v>
      </c>
      <c r="M2" s="3" t="s">
        <v>383</v>
      </c>
      <c r="N2" s="3" t="s">
        <v>384</v>
      </c>
      <c r="O2" s="3"/>
      <c r="P2" s="3" t="s">
        <v>409</v>
      </c>
      <c r="Q2" s="3" t="s">
        <v>388</v>
      </c>
      <c r="R2" s="3"/>
      <c r="S2" s="3" t="s">
        <v>385</v>
      </c>
      <c r="T2" s="3" t="s">
        <v>386</v>
      </c>
      <c r="U2" s="3" t="s">
        <v>1347</v>
      </c>
      <c r="V2" s="3" t="s">
        <v>923</v>
      </c>
      <c r="W2" s="3" t="s">
        <v>414</v>
      </c>
      <c r="X2" s="3" t="s">
        <v>389</v>
      </c>
      <c r="Y2" s="3" t="s">
        <v>387</v>
      </c>
      <c r="Z2" s="2" t="s">
        <v>390</v>
      </c>
      <c r="AA2" s="2" t="s">
        <v>7722</v>
      </c>
      <c r="AB2" s="2" t="s">
        <v>391</v>
      </c>
      <c r="AC2" s="3" t="s">
        <v>459</v>
      </c>
      <c r="AD2" s="2" t="s">
        <v>460</v>
      </c>
      <c r="AE2" s="2" t="s">
        <v>461</v>
      </c>
      <c r="AF2" s="2"/>
      <c r="AG2" s="2"/>
      <c r="AH2" s="2" t="s">
        <v>3878</v>
      </c>
      <c r="AI2" s="2" t="s">
        <v>10</v>
      </c>
      <c r="AJ2" s="2"/>
      <c r="AK2" s="2" t="s">
        <v>660</v>
      </c>
      <c r="AL2" s="2" t="s">
        <v>2864</v>
      </c>
      <c r="AM2" s="2" t="s">
        <v>2865</v>
      </c>
      <c r="AN2" s="2"/>
      <c r="AO2" s="2" t="s">
        <v>4101</v>
      </c>
      <c r="AP2" s="2" t="s">
        <v>4099</v>
      </c>
      <c r="AQ2" s="2"/>
      <c r="AR2" s="2" t="s">
        <v>4100</v>
      </c>
      <c r="AS2" s="2" t="s">
        <v>966</v>
      </c>
      <c r="AT2" s="2"/>
      <c r="AU2" s="2" t="s">
        <v>4239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3:58" ht="17.25" customHeight="1">
      <c r="E3" s="2"/>
      <c r="F3" s="15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3:58" ht="17.25" customHeight="1">
      <c r="C4" s="1">
        <v>44052</v>
      </c>
      <c r="E4" s="2" t="s">
        <v>8933</v>
      </c>
      <c r="F4" s="15"/>
      <c r="G4" s="2" t="s">
        <v>8932</v>
      </c>
      <c r="H4" s="2" t="s">
        <v>8931</v>
      </c>
      <c r="I4" s="2"/>
      <c r="J4" s="2">
        <v>1</v>
      </c>
      <c r="K4" s="2"/>
      <c r="L4" s="3">
        <v>19.5</v>
      </c>
      <c r="M4" s="3">
        <v>1.95</v>
      </c>
      <c r="N4" s="3">
        <v>1.23</v>
      </c>
      <c r="O4" s="3">
        <v>1.58</v>
      </c>
      <c r="P4" s="3">
        <f>1.58-1.58</f>
        <v>0</v>
      </c>
      <c r="Q4" s="6">
        <f t="shared" ref="Q4:Q5" si="0">+L4-M4-N4+P4</f>
        <v>16.32</v>
      </c>
      <c r="R4" s="3"/>
      <c r="S4" s="3">
        <v>11.99</v>
      </c>
      <c r="T4" s="3">
        <v>0.97</v>
      </c>
      <c r="U4" s="3"/>
      <c r="V4" s="3"/>
      <c r="W4" s="3"/>
      <c r="X4" s="3">
        <f t="shared" ref="X4" si="1">+S4+T4++U4+V4-W4</f>
        <v>12.96</v>
      </c>
      <c r="Y4" s="6">
        <f t="shared" ref="Y4" si="2">+Q4-X4</f>
        <v>3.3599999999999994</v>
      </c>
      <c r="Z4" s="2"/>
      <c r="AA4" s="2"/>
      <c r="AB4" s="2"/>
      <c r="AC4" s="3"/>
      <c r="AD4" s="2"/>
      <c r="AE4" s="2"/>
      <c r="AF4" s="2"/>
      <c r="AG4" s="2"/>
      <c r="AH4" s="2" t="s">
        <v>8935</v>
      </c>
      <c r="AI4" s="2" t="s">
        <v>8934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3:58" ht="17.25" customHeight="1">
      <c r="C5" s="1">
        <v>44052</v>
      </c>
      <c r="E5" s="2" t="s">
        <v>8648</v>
      </c>
      <c r="F5" s="15"/>
      <c r="G5" s="2" t="s">
        <v>8937</v>
      </c>
      <c r="H5" s="2" t="s">
        <v>8936</v>
      </c>
      <c r="I5" s="2"/>
      <c r="J5" s="2">
        <v>1</v>
      </c>
      <c r="K5" s="2"/>
      <c r="L5" s="3">
        <v>50.75</v>
      </c>
      <c r="M5" s="3">
        <v>5.07</v>
      </c>
      <c r="N5" s="3">
        <v>2.69</v>
      </c>
      <c r="O5" s="3">
        <v>0</v>
      </c>
      <c r="P5" s="3">
        <v>0</v>
      </c>
      <c r="Q5" s="6">
        <f t="shared" si="0"/>
        <v>42.99</v>
      </c>
      <c r="R5" s="3"/>
      <c r="S5" s="3">
        <v>28.79</v>
      </c>
      <c r="T5" s="3">
        <v>2.0099999999999998</v>
      </c>
      <c r="U5" s="3"/>
      <c r="V5" s="3"/>
      <c r="W5" s="3">
        <v>0</v>
      </c>
      <c r="X5" s="3">
        <f t="shared" ref="X5" si="3">+S5+T5++U5+V5-W5</f>
        <v>30.799999999999997</v>
      </c>
      <c r="Y5" s="6">
        <f t="shared" ref="Y5" si="4">+Q5-X5</f>
        <v>12.190000000000005</v>
      </c>
      <c r="Z5" s="2"/>
      <c r="AA5" s="2"/>
      <c r="AB5" s="2"/>
      <c r="AC5" s="3"/>
      <c r="AD5" s="2"/>
      <c r="AE5" s="2"/>
      <c r="AF5" s="2"/>
      <c r="AG5" s="2"/>
      <c r="AH5" s="2" t="s">
        <v>8939</v>
      </c>
      <c r="AI5" s="2" t="s">
        <v>8938</v>
      </c>
      <c r="AJ5" s="2"/>
      <c r="AK5" s="2"/>
      <c r="AL5" s="2"/>
      <c r="AM5" s="2"/>
      <c r="AN5" s="2"/>
      <c r="AO5" s="2"/>
      <c r="AP5" s="2" t="s">
        <v>8859</v>
      </c>
      <c r="AQ5" s="2" t="s">
        <v>8940</v>
      </c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3:58" ht="17.25" customHeight="1">
      <c r="C6" s="1">
        <v>44052</v>
      </c>
      <c r="E6" s="2" t="s">
        <v>8925</v>
      </c>
      <c r="F6" s="15"/>
      <c r="G6" s="2" t="s">
        <v>8927</v>
      </c>
      <c r="H6" s="2" t="s">
        <v>8926</v>
      </c>
      <c r="I6" s="2"/>
      <c r="J6" s="2">
        <v>1</v>
      </c>
      <c r="K6" s="2"/>
      <c r="L6" s="3">
        <v>33.85</v>
      </c>
      <c r="M6" s="3">
        <v>3.38</v>
      </c>
      <c r="N6" s="3">
        <v>1.79</v>
      </c>
      <c r="O6" s="3">
        <v>0</v>
      </c>
      <c r="P6" s="3">
        <v>0</v>
      </c>
      <c r="Q6" s="6">
        <f t="shared" ref="Q6" si="5">+L6-M6-N6+P6</f>
        <v>28.680000000000003</v>
      </c>
      <c r="R6" s="3"/>
      <c r="S6" s="3">
        <v>21.79</v>
      </c>
      <c r="T6" s="3">
        <v>3.9</v>
      </c>
      <c r="U6" s="3"/>
      <c r="V6" s="3"/>
      <c r="W6" s="3">
        <v>1.0900000000000001</v>
      </c>
      <c r="X6" s="3">
        <f t="shared" ref="X6" si="6">+S6+T6++U6+V6-W6</f>
        <v>24.599999999999998</v>
      </c>
      <c r="Y6" s="6">
        <f t="shared" ref="Y6" si="7">+Q6-X6</f>
        <v>4.0800000000000054</v>
      </c>
      <c r="Z6" s="2"/>
      <c r="AA6" s="2"/>
      <c r="AB6" s="2"/>
      <c r="AC6" s="3"/>
      <c r="AD6" s="2"/>
      <c r="AE6" s="2"/>
      <c r="AF6" s="2"/>
      <c r="AG6" s="2"/>
      <c r="AH6" s="2" t="s">
        <v>8929</v>
      </c>
      <c r="AI6" s="2" t="s">
        <v>8928</v>
      </c>
      <c r="AJ6" s="2"/>
      <c r="AK6" s="2"/>
      <c r="AL6" s="2"/>
      <c r="AM6" s="2"/>
      <c r="AN6" s="2"/>
      <c r="AO6" s="2"/>
      <c r="AP6" s="2"/>
      <c r="AQ6" s="2" t="s">
        <v>8930</v>
      </c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3:58" ht="17.25" customHeight="1">
      <c r="C7" s="1">
        <v>44052</v>
      </c>
      <c r="E7" s="2" t="s">
        <v>8921</v>
      </c>
      <c r="F7" s="15"/>
      <c r="G7" s="2" t="s">
        <v>8920</v>
      </c>
      <c r="H7" s="2" t="s">
        <v>8943</v>
      </c>
      <c r="I7" s="2"/>
      <c r="J7" s="2">
        <v>1</v>
      </c>
      <c r="K7" s="2"/>
      <c r="L7" s="3">
        <v>22.99</v>
      </c>
      <c r="M7" s="3">
        <v>2.29</v>
      </c>
      <c r="N7" s="3">
        <v>1.4</v>
      </c>
      <c r="O7" s="3">
        <v>1.98</v>
      </c>
      <c r="P7" s="3">
        <f>1.98-1.98</f>
        <v>0</v>
      </c>
      <c r="Q7" s="6">
        <f t="shared" ref="Q7:Q10" si="8">+L7-M7-N7+P7</f>
        <v>19.3</v>
      </c>
      <c r="R7" s="3"/>
      <c r="S7" s="3">
        <v>13.95</v>
      </c>
      <c r="T7" s="3">
        <v>1.2</v>
      </c>
      <c r="U7" s="3"/>
      <c r="V7" s="3"/>
      <c r="W7" s="3">
        <v>1.39</v>
      </c>
      <c r="X7" s="2">
        <f t="shared" ref="X7" si="9">+S7+T7++U7+V7-W7</f>
        <v>13.759999999999998</v>
      </c>
      <c r="Y7" s="6">
        <f t="shared" ref="Y7" si="10">+Q7-X7</f>
        <v>5.5400000000000027</v>
      </c>
      <c r="Z7" s="2"/>
      <c r="AA7" s="2"/>
      <c r="AB7" s="2"/>
      <c r="AC7" s="3"/>
      <c r="AD7" s="2"/>
      <c r="AE7" s="2"/>
      <c r="AF7" s="2"/>
      <c r="AG7" s="2"/>
      <c r="AH7" s="2" t="s">
        <v>8923</v>
      </c>
      <c r="AI7" s="2" t="s">
        <v>8922</v>
      </c>
      <c r="AJ7" s="2"/>
      <c r="AK7" s="2"/>
      <c r="AL7" s="2"/>
      <c r="AM7" s="2"/>
      <c r="AN7" s="2"/>
      <c r="AO7" s="2"/>
      <c r="AP7" s="2"/>
      <c r="AQ7" s="2" t="s">
        <v>8924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3:58" ht="17.25" customHeight="1">
      <c r="C8" s="1">
        <v>44052</v>
      </c>
      <c r="E8" s="2" t="s">
        <v>8909</v>
      </c>
      <c r="F8" s="15"/>
      <c r="G8" s="2" t="s">
        <v>8911</v>
      </c>
      <c r="H8" s="2" t="s">
        <v>8910</v>
      </c>
      <c r="I8" s="2"/>
      <c r="J8" s="2">
        <v>1</v>
      </c>
      <c r="K8" s="2"/>
      <c r="L8" s="3">
        <v>18.5</v>
      </c>
      <c r="M8" s="3">
        <v>1.85</v>
      </c>
      <c r="N8" s="3">
        <v>1.1599999999999999</v>
      </c>
      <c r="O8" s="3">
        <v>1.1100000000000001</v>
      </c>
      <c r="P8" s="3">
        <f>1.11-1.11</f>
        <v>0</v>
      </c>
      <c r="Q8" s="6">
        <f t="shared" si="8"/>
        <v>15.489999999999998</v>
      </c>
      <c r="R8" s="3"/>
      <c r="S8" s="3">
        <v>9.5</v>
      </c>
      <c r="T8" s="3">
        <v>0.56999999999999995</v>
      </c>
      <c r="U8" s="3"/>
      <c r="V8" s="3"/>
      <c r="W8" s="3">
        <v>0</v>
      </c>
      <c r="X8" s="2">
        <f t="shared" ref="X8:X9" si="11">+S8+T8++U8+V8-W8</f>
        <v>10.07</v>
      </c>
      <c r="Y8" s="6">
        <f t="shared" ref="Y8:Y10" si="12">+Q8-X8</f>
        <v>5.4199999999999982</v>
      </c>
      <c r="Z8" s="2"/>
      <c r="AA8" s="2"/>
      <c r="AB8" s="2"/>
      <c r="AC8" s="3"/>
      <c r="AD8" s="2"/>
      <c r="AE8" s="2"/>
      <c r="AF8" s="2"/>
      <c r="AG8" s="2"/>
      <c r="AH8" s="2" t="s">
        <v>8913</v>
      </c>
      <c r="AI8" s="2" t="s">
        <v>8912</v>
      </c>
      <c r="AJ8" s="2"/>
      <c r="AK8" s="2"/>
      <c r="AL8" s="2"/>
      <c r="AM8" s="2"/>
      <c r="AN8" s="2"/>
      <c r="AO8" s="2"/>
      <c r="AP8" s="2"/>
      <c r="AQ8" s="2" t="s">
        <v>8919</v>
      </c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3:58" ht="17.25" customHeight="1">
      <c r="C9" s="1">
        <v>44052</v>
      </c>
      <c r="E9" s="2" t="s">
        <v>8696</v>
      </c>
      <c r="F9" s="15"/>
      <c r="G9" s="2" t="s">
        <v>8915</v>
      </c>
      <c r="H9" s="2" t="s">
        <v>8914</v>
      </c>
      <c r="I9" s="2"/>
      <c r="J9" s="2">
        <v>1</v>
      </c>
      <c r="K9" s="2"/>
      <c r="L9" s="3">
        <v>11.95</v>
      </c>
      <c r="M9" s="3">
        <v>1.19</v>
      </c>
      <c r="N9" s="3">
        <v>0.86</v>
      </c>
      <c r="O9" s="3"/>
      <c r="P9" s="3">
        <v>0.84</v>
      </c>
      <c r="Q9" s="6">
        <f t="shared" si="8"/>
        <v>10.74</v>
      </c>
      <c r="R9" s="3"/>
      <c r="S9" s="3">
        <v>6.55</v>
      </c>
      <c r="T9" s="3">
        <v>0.46</v>
      </c>
      <c r="U9" s="3"/>
      <c r="V9" s="3"/>
      <c r="W9" s="3"/>
      <c r="X9" s="2">
        <f t="shared" si="11"/>
        <v>7.01</v>
      </c>
      <c r="Y9" s="6">
        <f t="shared" si="12"/>
        <v>3.7300000000000004</v>
      </c>
      <c r="Z9" s="2"/>
      <c r="AA9" s="2"/>
      <c r="AB9" s="2"/>
      <c r="AC9" s="3"/>
      <c r="AD9" s="2"/>
      <c r="AE9" s="2"/>
      <c r="AF9" s="2"/>
      <c r="AG9" s="2"/>
      <c r="AH9" s="2" t="s">
        <v>8917</v>
      </c>
      <c r="AI9" s="2" t="s">
        <v>8916</v>
      </c>
      <c r="AJ9" s="2"/>
      <c r="AK9" s="2"/>
      <c r="AL9" s="2"/>
      <c r="AM9" s="2"/>
      <c r="AN9" s="2"/>
      <c r="AO9" s="2"/>
      <c r="AP9" s="2"/>
      <c r="AQ9" s="2" t="s">
        <v>8918</v>
      </c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3:58" ht="17.25" customHeight="1">
      <c r="C10" s="1">
        <v>44052</v>
      </c>
      <c r="E10" s="2" t="s">
        <v>8899</v>
      </c>
      <c r="F10" s="15"/>
      <c r="G10" s="2" t="s">
        <v>8905</v>
      </c>
      <c r="H10" s="2" t="s">
        <v>8904</v>
      </c>
      <c r="I10" s="2"/>
      <c r="J10" s="2">
        <v>1</v>
      </c>
      <c r="K10" s="2"/>
      <c r="L10" s="3">
        <v>13.95</v>
      </c>
      <c r="M10" s="3">
        <v>1.39</v>
      </c>
      <c r="N10" s="3">
        <v>0.97</v>
      </c>
      <c r="O10" s="3">
        <v>1.19</v>
      </c>
      <c r="P10" s="3">
        <f>1.19-1.19</f>
        <v>0</v>
      </c>
      <c r="Q10" s="6">
        <f t="shared" si="8"/>
        <v>11.589999999999998</v>
      </c>
      <c r="R10" s="3"/>
      <c r="S10" s="3">
        <v>7.35</v>
      </c>
      <c r="T10" s="3">
        <v>0.63</v>
      </c>
      <c r="U10" s="3"/>
      <c r="V10" s="3"/>
      <c r="W10" s="3">
        <v>0.37</v>
      </c>
      <c r="X10" s="2">
        <f t="shared" ref="X10" si="13">+S10+T10++U10+V10-W10</f>
        <v>7.6099999999999994</v>
      </c>
      <c r="Y10" s="6">
        <f t="shared" si="12"/>
        <v>3.9799999999999986</v>
      </c>
      <c r="Z10" s="2"/>
      <c r="AA10" s="2"/>
      <c r="AB10" s="2"/>
      <c r="AC10" s="3"/>
      <c r="AD10" s="2"/>
      <c r="AE10" s="2"/>
      <c r="AF10" s="2"/>
      <c r="AG10" s="2"/>
      <c r="AH10" s="2" t="s">
        <v>8907</v>
      </c>
      <c r="AI10" s="2" t="s">
        <v>8906</v>
      </c>
      <c r="AJ10" s="2"/>
      <c r="AK10" s="2"/>
      <c r="AL10" s="2"/>
      <c r="AM10" s="2"/>
      <c r="AN10" s="2"/>
      <c r="AO10" s="2"/>
      <c r="AP10" s="2" t="s">
        <v>8650</v>
      </c>
      <c r="AQ10" s="2" t="s">
        <v>8180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3:58" ht="17.25" customHeight="1">
      <c r="C11" s="1">
        <v>44052</v>
      </c>
      <c r="E11" s="2" t="s">
        <v>8648</v>
      </c>
      <c r="F11" s="15"/>
      <c r="G11" s="2" t="s">
        <v>8028</v>
      </c>
      <c r="H11" s="2" t="s">
        <v>8027</v>
      </c>
      <c r="I11" s="2"/>
      <c r="J11" s="2">
        <v>1</v>
      </c>
      <c r="K11" s="2"/>
      <c r="L11" s="3">
        <v>50.75</v>
      </c>
      <c r="M11" s="3">
        <v>5.07</v>
      </c>
      <c r="N11" s="3">
        <v>2.69</v>
      </c>
      <c r="O11" s="3">
        <v>0</v>
      </c>
      <c r="P11" s="3">
        <v>0</v>
      </c>
      <c r="Q11" s="6">
        <f t="shared" ref="Q11" si="14">+L11-M11-N11+P11</f>
        <v>42.99</v>
      </c>
      <c r="R11" s="3"/>
      <c r="S11" s="3">
        <v>28.79</v>
      </c>
      <c r="T11" s="3">
        <v>2.0099999999999998</v>
      </c>
      <c r="U11" s="3"/>
      <c r="V11" s="3"/>
      <c r="W11" s="3">
        <v>0</v>
      </c>
      <c r="X11" s="3">
        <f t="shared" ref="X11" si="15">+S11+T11++U11+V11-W11</f>
        <v>30.799999999999997</v>
      </c>
      <c r="Y11" s="6">
        <f t="shared" ref="Y11" si="16">+Q11-X11</f>
        <v>12.190000000000005</v>
      </c>
      <c r="Z11" s="2"/>
      <c r="AA11" s="2"/>
      <c r="AB11" s="2"/>
      <c r="AC11" s="3"/>
      <c r="AD11" s="2"/>
      <c r="AE11" s="2"/>
      <c r="AF11" s="2"/>
      <c r="AG11" s="2"/>
      <c r="AH11" s="2" t="s">
        <v>8031</v>
      </c>
      <c r="AI11" s="2" t="s">
        <v>8030</v>
      </c>
      <c r="AJ11" s="2"/>
      <c r="AK11" s="2"/>
      <c r="AL11" s="2"/>
      <c r="AM11" s="2"/>
      <c r="AN11" s="2"/>
      <c r="AO11" s="2"/>
      <c r="AP11" s="2" t="s">
        <v>8859</v>
      </c>
      <c r="AQ11" s="2" t="s">
        <v>8908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3:58" ht="17.25" customHeight="1">
      <c r="C12" s="1">
        <v>44052</v>
      </c>
      <c r="E12" s="2" t="s">
        <v>8838</v>
      </c>
      <c r="F12" s="15"/>
      <c r="G12" s="2" t="s">
        <v>8901</v>
      </c>
      <c r="H12" s="2" t="s">
        <v>8900</v>
      </c>
      <c r="I12" s="2"/>
      <c r="J12" s="2">
        <v>1</v>
      </c>
      <c r="K12" s="2"/>
      <c r="L12" s="3">
        <v>35.25</v>
      </c>
      <c r="M12" s="3">
        <v>3.52</v>
      </c>
      <c r="N12" s="3">
        <v>1.94</v>
      </c>
      <c r="O12" s="3">
        <v>2.12</v>
      </c>
      <c r="P12" s="3">
        <f>2.12-2.12</f>
        <v>0</v>
      </c>
      <c r="Q12" s="6">
        <f t="shared" ref="Q12" si="17">+L12-M12-N12+P12</f>
        <v>29.79</v>
      </c>
      <c r="R12" s="3"/>
      <c r="S12" s="3">
        <v>16.95</v>
      </c>
      <c r="T12" s="3">
        <v>1.02</v>
      </c>
      <c r="U12" s="3">
        <v>5</v>
      </c>
      <c r="V12" s="3"/>
      <c r="W12" s="3">
        <v>0</v>
      </c>
      <c r="X12" s="2">
        <f t="shared" ref="X12" si="18">+S12+T12++U12+V12-W12</f>
        <v>22.97</v>
      </c>
      <c r="Y12" s="6">
        <f t="shared" ref="Y12" si="19">+Q12-X12</f>
        <v>6.82</v>
      </c>
      <c r="Z12" s="6">
        <f>SUM(Y4:Y12)</f>
        <v>57.310000000000009</v>
      </c>
      <c r="AA12" s="2">
        <f>SUM(J4:J12)</f>
        <v>9</v>
      </c>
      <c r="AB12" s="2"/>
      <c r="AC12" s="3"/>
      <c r="AD12" s="2"/>
      <c r="AE12" s="2"/>
      <c r="AF12" s="2"/>
      <c r="AG12" s="2"/>
      <c r="AH12" s="2" t="s">
        <v>8903</v>
      </c>
      <c r="AI12" s="2" t="s">
        <v>8902</v>
      </c>
      <c r="AJ12" s="2"/>
      <c r="AK12" s="2"/>
      <c r="AL12" s="2"/>
      <c r="AM12" s="2"/>
      <c r="AN12" s="2"/>
      <c r="AO12" s="2"/>
      <c r="AP12" s="2" t="s">
        <v>8081</v>
      </c>
      <c r="AQ12" s="2" t="s">
        <v>8158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3:58" ht="17.25" customHeight="1">
      <c r="C13" s="1">
        <v>44051</v>
      </c>
      <c r="E13" s="2" t="s">
        <v>8035</v>
      </c>
      <c r="F13" s="15"/>
      <c r="G13" s="2" t="s">
        <v>8885</v>
      </c>
      <c r="H13" s="2" t="s">
        <v>8884</v>
      </c>
      <c r="I13" s="2"/>
      <c r="J13" s="2">
        <v>1</v>
      </c>
      <c r="K13" s="2"/>
      <c r="L13" s="3">
        <v>33.85</v>
      </c>
      <c r="M13" s="3">
        <v>3.38</v>
      </c>
      <c r="N13" s="3">
        <v>1.88</v>
      </c>
      <c r="O13" s="3">
        <v>2.12</v>
      </c>
      <c r="P13" s="3">
        <f>2.12-2.12</f>
        <v>0</v>
      </c>
      <c r="Q13" s="6">
        <f t="shared" ref="Q13" si="20">+L13-M13-N13+P13</f>
        <v>28.590000000000003</v>
      </c>
      <c r="R13" s="3"/>
      <c r="S13" s="3">
        <v>10.78</v>
      </c>
      <c r="T13" s="3">
        <v>0.67</v>
      </c>
      <c r="U13" s="3"/>
      <c r="V13" s="3"/>
      <c r="W13" s="3">
        <v>0</v>
      </c>
      <c r="X13" s="2">
        <f t="shared" ref="X13" si="21">+S13+T13++U13+V13-W13</f>
        <v>11.45</v>
      </c>
      <c r="Y13" s="6">
        <f t="shared" ref="Y13" si="22">+Q13-X13</f>
        <v>17.140000000000004</v>
      </c>
      <c r="Z13" s="2"/>
      <c r="AA13" s="2"/>
      <c r="AB13" s="2"/>
      <c r="AC13" s="3"/>
      <c r="AD13" s="2"/>
      <c r="AE13" s="2"/>
      <c r="AF13" s="2"/>
      <c r="AG13" s="2"/>
      <c r="AH13" s="2" t="s">
        <v>8866</v>
      </c>
      <c r="AI13" s="2" t="s">
        <v>8865</v>
      </c>
      <c r="AJ13" s="2"/>
      <c r="AK13" s="2"/>
      <c r="AL13" s="2"/>
      <c r="AM13" s="2"/>
      <c r="AN13" s="2"/>
      <c r="AO13" s="2" t="s">
        <v>8886</v>
      </c>
      <c r="AP13" s="2" t="s">
        <v>8859</v>
      </c>
      <c r="AQ13" s="2" t="s">
        <v>8040</v>
      </c>
      <c r="AR13" s="16" t="s">
        <v>8887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3:58" ht="17.25" customHeight="1">
      <c r="C14" s="1">
        <v>44051</v>
      </c>
      <c r="E14" s="2" t="s">
        <v>8560</v>
      </c>
      <c r="F14" s="15"/>
      <c r="G14" s="2" t="s">
        <v>8862</v>
      </c>
      <c r="H14" s="2" t="s">
        <v>8861</v>
      </c>
      <c r="I14" s="2"/>
      <c r="J14" s="2">
        <v>1</v>
      </c>
      <c r="K14" s="2"/>
      <c r="L14" s="3">
        <v>72.5</v>
      </c>
      <c r="M14" s="3">
        <v>7.25</v>
      </c>
      <c r="N14" s="3">
        <v>3.75</v>
      </c>
      <c r="O14" s="3">
        <v>5.8</v>
      </c>
      <c r="P14" s="3">
        <f>5.8-5.8</f>
        <v>0</v>
      </c>
      <c r="Q14" s="6">
        <f t="shared" ref="Q14" si="23">+L14-M14-N14+P14</f>
        <v>61.5</v>
      </c>
      <c r="R14" s="3"/>
      <c r="S14" s="3">
        <v>46.99</v>
      </c>
      <c r="T14" s="3"/>
      <c r="U14" s="3">
        <v>4.99</v>
      </c>
      <c r="V14" s="3"/>
      <c r="W14" s="3">
        <v>4.6900000000000004</v>
      </c>
      <c r="X14" s="2">
        <f t="shared" ref="X14" si="24">+S14+T14++U14+V14-W14</f>
        <v>47.290000000000006</v>
      </c>
      <c r="Y14" s="6">
        <f t="shared" ref="Y14" si="25">+Q14-X14</f>
        <v>14.209999999999994</v>
      </c>
      <c r="Z14" s="2"/>
      <c r="AA14" s="2"/>
      <c r="AB14" s="2"/>
      <c r="AC14" s="3"/>
      <c r="AD14" s="2"/>
      <c r="AE14" s="2"/>
      <c r="AF14" s="2"/>
      <c r="AG14" s="2"/>
      <c r="AH14" s="2" t="s">
        <v>8864</v>
      </c>
      <c r="AI14" s="2" t="s">
        <v>8863</v>
      </c>
      <c r="AJ14" s="2"/>
      <c r="AK14" s="2"/>
      <c r="AL14" s="2"/>
      <c r="AM14" s="2"/>
      <c r="AN14" s="2"/>
      <c r="AO14" s="2"/>
      <c r="AP14" s="2" t="s">
        <v>7954</v>
      </c>
      <c r="AQ14" s="2" t="s">
        <v>8561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3:58" ht="17.25" customHeight="1">
      <c r="C15" s="1">
        <v>44051</v>
      </c>
      <c r="E15" s="2" t="s">
        <v>8035</v>
      </c>
      <c r="F15" s="15"/>
      <c r="G15" s="2" t="s">
        <v>8855</v>
      </c>
      <c r="H15" s="2" t="s">
        <v>8854</v>
      </c>
      <c r="I15" s="2"/>
      <c r="J15" s="2">
        <v>1</v>
      </c>
      <c r="K15" s="2"/>
      <c r="L15" s="3">
        <v>33.85</v>
      </c>
      <c r="M15" s="3">
        <v>3.38</v>
      </c>
      <c r="N15" s="3">
        <v>1.89</v>
      </c>
      <c r="O15" s="3">
        <v>2.37</v>
      </c>
      <c r="P15" s="3">
        <f>2.37-2.37</f>
        <v>0</v>
      </c>
      <c r="Q15" s="6">
        <f t="shared" ref="Q15" si="26">+L15-M15-N15+P15</f>
        <v>28.580000000000002</v>
      </c>
      <c r="R15" s="3"/>
      <c r="S15" s="3">
        <v>10.78</v>
      </c>
      <c r="T15" s="3">
        <v>0.75</v>
      </c>
      <c r="U15" s="3"/>
      <c r="V15" s="3"/>
      <c r="W15" s="3">
        <v>0</v>
      </c>
      <c r="X15" s="2">
        <f t="shared" ref="X15" si="27">+S15+T15++U15+V15-W15</f>
        <v>11.53</v>
      </c>
      <c r="Y15" s="6">
        <f t="shared" ref="Y15" si="28">+Q15-X15</f>
        <v>17.050000000000004</v>
      </c>
      <c r="Z15" s="2"/>
      <c r="AA15" s="2"/>
      <c r="AB15" s="2"/>
      <c r="AC15" s="3"/>
      <c r="AD15" s="2"/>
      <c r="AE15" s="2"/>
      <c r="AF15" s="2"/>
      <c r="AG15" s="2"/>
      <c r="AH15" s="2" t="s">
        <v>8857</v>
      </c>
      <c r="AI15" s="2" t="s">
        <v>8856</v>
      </c>
      <c r="AJ15" s="2"/>
      <c r="AK15" s="2"/>
      <c r="AL15" s="2"/>
      <c r="AM15" s="2"/>
      <c r="AN15" s="2"/>
      <c r="AO15" s="2" t="s">
        <v>8858</v>
      </c>
      <c r="AP15" s="2" t="s">
        <v>8859</v>
      </c>
      <c r="AQ15" s="2" t="s">
        <v>8040</v>
      </c>
      <c r="AR15" s="16" t="s">
        <v>8860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3:58" ht="17.25" customHeight="1">
      <c r="C16" s="1">
        <v>44051</v>
      </c>
      <c r="E16" s="2" t="s">
        <v>8844</v>
      </c>
      <c r="F16" s="15"/>
      <c r="G16" s="2" t="s">
        <v>8849</v>
      </c>
      <c r="H16" s="2" t="s">
        <v>8848</v>
      </c>
      <c r="I16" s="2"/>
      <c r="J16" s="2">
        <v>1</v>
      </c>
      <c r="K16" s="2"/>
      <c r="L16" s="3">
        <v>41.5</v>
      </c>
      <c r="M16" s="3">
        <v>4.1500000000000004</v>
      </c>
      <c r="N16" s="3">
        <v>2.2999999999999998</v>
      </c>
      <c r="O16" s="3">
        <v>4.05</v>
      </c>
      <c r="P16" s="3">
        <f>4.05-4.05</f>
        <v>0</v>
      </c>
      <c r="Q16" s="6">
        <f t="shared" ref="Q16:Q17" si="29">+L16-M16-N16+P16</f>
        <v>35.050000000000004</v>
      </c>
      <c r="R16" s="3"/>
      <c r="S16" s="3">
        <v>27.4</v>
      </c>
      <c r="T16" s="3">
        <v>2.67</v>
      </c>
      <c r="U16" s="3"/>
      <c r="V16" s="3"/>
      <c r="W16" s="3"/>
      <c r="X16" s="2">
        <f t="shared" ref="X16" si="30">+S16+T16++U16+V16-W16</f>
        <v>30.07</v>
      </c>
      <c r="Y16" s="6">
        <f t="shared" ref="Y16" si="31">+Q16-X16</f>
        <v>4.980000000000004</v>
      </c>
      <c r="Z16" s="2"/>
      <c r="AA16" s="2"/>
      <c r="AB16" s="2"/>
      <c r="AC16" s="3"/>
      <c r="AD16" s="2"/>
      <c r="AE16" s="2"/>
      <c r="AF16" s="2"/>
      <c r="AG16" s="2"/>
      <c r="AH16" s="2" t="s">
        <v>8851</v>
      </c>
      <c r="AI16" s="2" t="s">
        <v>8850</v>
      </c>
      <c r="AJ16" s="2"/>
      <c r="AK16" s="2"/>
      <c r="AL16" s="2"/>
      <c r="AM16" s="2"/>
      <c r="AN16" s="2"/>
      <c r="AO16" s="2"/>
      <c r="AP16" s="2" t="s">
        <v>8853</v>
      </c>
      <c r="AQ16" s="2" t="s">
        <v>8852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ht="17.25" customHeight="1">
      <c r="C17" s="1">
        <v>44051</v>
      </c>
      <c r="E17" s="2" t="s">
        <v>7802</v>
      </c>
      <c r="F17" s="15"/>
      <c r="G17" s="2" t="s">
        <v>8845</v>
      </c>
      <c r="H17" s="2" t="s">
        <v>8895</v>
      </c>
      <c r="I17" s="2"/>
      <c r="J17" s="2">
        <v>1</v>
      </c>
      <c r="K17" s="2"/>
      <c r="L17" s="3">
        <v>19.5</v>
      </c>
      <c r="M17" s="3">
        <v>1.95</v>
      </c>
      <c r="N17" s="3">
        <v>1.23</v>
      </c>
      <c r="O17" s="3">
        <v>1.63</v>
      </c>
      <c r="P17" s="3">
        <f>1.63-1.63</f>
        <v>0</v>
      </c>
      <c r="Q17" s="6">
        <f t="shared" si="29"/>
        <v>16.32</v>
      </c>
      <c r="R17" s="3"/>
      <c r="S17" s="3">
        <v>10.99</v>
      </c>
      <c r="T17" s="3">
        <v>0.92</v>
      </c>
      <c r="U17" s="3">
        <v>0</v>
      </c>
      <c r="V17" s="3">
        <v>0</v>
      </c>
      <c r="W17" s="3">
        <v>0</v>
      </c>
      <c r="X17" s="2">
        <f t="shared" ref="X17" si="32">+S17+T17++U17+V17-W17</f>
        <v>11.91</v>
      </c>
      <c r="Y17" s="6">
        <f t="shared" ref="Y17" si="33">+Q17-X17</f>
        <v>4.41</v>
      </c>
      <c r="Z17" s="2"/>
      <c r="AA17" s="2"/>
      <c r="AB17" s="2"/>
      <c r="AC17" s="3"/>
      <c r="AD17" s="2"/>
      <c r="AE17" s="2"/>
      <c r="AF17" s="2"/>
      <c r="AG17" s="2"/>
      <c r="AH17" s="2" t="s">
        <v>8847</v>
      </c>
      <c r="AI17" s="2" t="s">
        <v>8846</v>
      </c>
      <c r="AJ17" s="2"/>
      <c r="AK17" s="2"/>
      <c r="AL17" s="2"/>
      <c r="AM17" s="2"/>
      <c r="AN17" s="2"/>
      <c r="AO17" s="5" t="s">
        <v>8204</v>
      </c>
      <c r="AP17" s="2" t="s">
        <v>7938</v>
      </c>
      <c r="AQ17" s="2" t="s">
        <v>8529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ht="17.25" customHeight="1">
      <c r="C18" s="1">
        <v>44051</v>
      </c>
      <c r="E18" s="2" t="s">
        <v>8838</v>
      </c>
      <c r="F18" s="15"/>
      <c r="G18" s="2" t="s">
        <v>8840</v>
      </c>
      <c r="H18" s="2" t="s">
        <v>8839</v>
      </c>
      <c r="I18" s="2"/>
      <c r="J18" s="2">
        <v>1</v>
      </c>
      <c r="K18" s="2"/>
      <c r="L18" s="3">
        <v>35.25</v>
      </c>
      <c r="M18" s="3">
        <v>3.52</v>
      </c>
      <c r="N18" s="3">
        <v>1.96</v>
      </c>
      <c r="O18" s="3">
        <v>2.4700000000000002</v>
      </c>
      <c r="P18" s="3">
        <f>2.47-2.47</f>
        <v>0</v>
      </c>
      <c r="Q18" s="6">
        <f t="shared" ref="Q18" si="34">+L18-M18-N18+P18</f>
        <v>29.77</v>
      </c>
      <c r="R18" s="3"/>
      <c r="S18" s="3">
        <v>16.95</v>
      </c>
      <c r="T18" s="3">
        <v>1.54</v>
      </c>
      <c r="U18" s="3">
        <v>5</v>
      </c>
      <c r="V18" s="3"/>
      <c r="W18" s="3">
        <v>0</v>
      </c>
      <c r="X18" s="2">
        <f t="shared" ref="X18" si="35">+S18+T18++U18+V18-W18</f>
        <v>23.49</v>
      </c>
      <c r="Y18" s="6">
        <f t="shared" ref="Y18" si="36">+Q18-X18</f>
        <v>6.2800000000000011</v>
      </c>
      <c r="Z18" s="2"/>
      <c r="AA18" s="2"/>
      <c r="AB18" s="2"/>
      <c r="AC18" s="3"/>
      <c r="AD18" s="2"/>
      <c r="AE18" s="2"/>
      <c r="AF18" s="2"/>
      <c r="AG18" s="2"/>
      <c r="AH18" s="2" t="s">
        <v>8842</v>
      </c>
      <c r="AI18" s="2" t="s">
        <v>8841</v>
      </c>
      <c r="AJ18" s="2"/>
      <c r="AK18" s="2"/>
      <c r="AL18" s="2"/>
      <c r="AM18" s="2"/>
      <c r="AN18" s="2"/>
      <c r="AO18" s="2"/>
      <c r="AP18" s="2" t="s">
        <v>8081</v>
      </c>
      <c r="AQ18" s="2" t="s">
        <v>8843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ht="17.25" customHeight="1">
      <c r="C19" s="1">
        <v>44051</v>
      </c>
      <c r="E19" s="2" t="s">
        <v>8833</v>
      </c>
      <c r="F19" s="15"/>
      <c r="G19" s="2" t="s">
        <v>8835</v>
      </c>
      <c r="H19" s="2" t="s">
        <v>8834</v>
      </c>
      <c r="I19" s="2"/>
      <c r="J19" s="2">
        <v>1</v>
      </c>
      <c r="K19" s="2"/>
      <c r="L19" s="3">
        <v>17.5</v>
      </c>
      <c r="M19" s="3">
        <v>1.75</v>
      </c>
      <c r="N19" s="3">
        <v>1.1200000000000001</v>
      </c>
      <c r="O19" s="3">
        <v>1.18</v>
      </c>
      <c r="P19" s="3">
        <f>1.18-1.18</f>
        <v>0</v>
      </c>
      <c r="Q19" s="6">
        <f t="shared" ref="Q19:Q20" si="37">+L19-M19-N19+P19</f>
        <v>14.629999999999999</v>
      </c>
      <c r="R19" s="3"/>
      <c r="S19" s="3">
        <v>11.99</v>
      </c>
      <c r="T19" s="3">
        <v>0.81</v>
      </c>
      <c r="U19" s="3">
        <v>0</v>
      </c>
      <c r="V19" s="3"/>
      <c r="W19" s="3">
        <v>0.6</v>
      </c>
      <c r="X19" s="2">
        <f t="shared" ref="X19" si="38">+S19+T19++U19+V19-W19</f>
        <v>12.200000000000001</v>
      </c>
      <c r="Y19" s="6">
        <f t="shared" ref="Y19" si="39">+Q19-X19</f>
        <v>2.4299999999999979</v>
      </c>
      <c r="Z19" s="2"/>
      <c r="AA19" s="2"/>
      <c r="AB19" s="2"/>
      <c r="AC19" s="3"/>
      <c r="AD19" s="2"/>
      <c r="AE19" s="2"/>
      <c r="AF19" s="2"/>
      <c r="AG19" s="2"/>
      <c r="AH19" s="2" t="s">
        <v>8837</v>
      </c>
      <c r="AI19" s="2" t="s">
        <v>8836</v>
      </c>
      <c r="AJ19" s="2"/>
      <c r="AK19" s="2"/>
      <c r="AL19" s="2"/>
      <c r="AM19" s="2"/>
      <c r="AN19" s="2"/>
      <c r="AO19" s="2"/>
      <c r="AP19" s="2" t="s">
        <v>8650</v>
      </c>
      <c r="AQ19" s="2" t="s">
        <v>8833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ht="17.25" customHeight="1">
      <c r="C20" s="1">
        <v>44051</v>
      </c>
      <c r="E20" s="2" t="s">
        <v>8523</v>
      </c>
      <c r="F20" s="15"/>
      <c r="G20" s="2" t="s">
        <v>8830</v>
      </c>
      <c r="H20" s="2" t="s">
        <v>8829</v>
      </c>
      <c r="I20" s="2"/>
      <c r="J20" s="2">
        <v>1</v>
      </c>
      <c r="K20" s="2"/>
      <c r="L20" s="3">
        <v>28.25</v>
      </c>
      <c r="M20" s="3">
        <v>2.82</v>
      </c>
      <c r="N20" s="3">
        <v>1.63</v>
      </c>
      <c r="O20" s="3">
        <v>1.98</v>
      </c>
      <c r="P20" s="3">
        <f>1.98-1.98</f>
        <v>0</v>
      </c>
      <c r="Q20" s="6">
        <f t="shared" si="37"/>
        <v>23.8</v>
      </c>
      <c r="R20" s="3"/>
      <c r="S20" s="3">
        <v>12.99</v>
      </c>
      <c r="T20" s="3">
        <v>0.91</v>
      </c>
      <c r="U20" s="3"/>
      <c r="V20" s="3"/>
      <c r="W20" s="3"/>
      <c r="X20" s="2">
        <f t="shared" ref="X20" si="40">+S20+T20++U20+V20-W20</f>
        <v>13.9</v>
      </c>
      <c r="Y20" s="6">
        <f t="shared" ref="Y20" si="41">+Q20-X20</f>
        <v>9.9</v>
      </c>
      <c r="Z20" s="2"/>
      <c r="AA20" s="2"/>
      <c r="AB20" s="2"/>
      <c r="AC20" s="3"/>
      <c r="AD20" s="2"/>
      <c r="AE20" s="2"/>
      <c r="AF20" s="2"/>
      <c r="AG20" s="2"/>
      <c r="AH20" s="2" t="s">
        <v>8832</v>
      </c>
      <c r="AI20" s="2" t="s">
        <v>8831</v>
      </c>
      <c r="AJ20" s="2"/>
      <c r="AK20" s="2"/>
      <c r="AL20" s="2"/>
      <c r="AM20" s="2"/>
      <c r="AN20" s="2"/>
      <c r="AO20" s="2"/>
      <c r="AP20" s="2" t="s">
        <v>8528</v>
      </c>
      <c r="AQ20" s="2" t="s">
        <v>8529</v>
      </c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ht="17.25" customHeight="1">
      <c r="C21" s="1">
        <v>44051</v>
      </c>
      <c r="E21" s="2" t="s">
        <v>8571</v>
      </c>
      <c r="F21" s="15"/>
      <c r="G21" s="2" t="s">
        <v>8828</v>
      </c>
      <c r="H21" s="2" t="s">
        <v>8827</v>
      </c>
      <c r="I21" s="2"/>
      <c r="J21" s="2">
        <v>1</v>
      </c>
      <c r="K21" s="2"/>
      <c r="L21" s="3">
        <v>10.95</v>
      </c>
      <c r="M21" s="3">
        <v>1.0900000000000001</v>
      </c>
      <c r="N21" s="3">
        <v>0.81</v>
      </c>
      <c r="O21" s="3">
        <v>0.68</v>
      </c>
      <c r="P21" s="3">
        <f>0.68-0.68</f>
        <v>0</v>
      </c>
      <c r="Q21" s="6">
        <f t="shared" ref="Q21:Q22" si="42">+L21-M21-N21+P21</f>
        <v>9.0499999999999989</v>
      </c>
      <c r="R21" s="3"/>
      <c r="S21" s="3"/>
      <c r="T21" s="3"/>
      <c r="U21" s="3"/>
      <c r="V21" s="3"/>
      <c r="W21" s="3"/>
      <c r="X21" s="3"/>
      <c r="Y21" s="3"/>
      <c r="Z21" s="6">
        <f>SUM(Y13:Y21)</f>
        <v>76.400000000000006</v>
      </c>
      <c r="AA21" s="2">
        <f>SUM(J13:J21)</f>
        <v>9</v>
      </c>
      <c r="AB21" s="2"/>
      <c r="AC21" s="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ht="17.25" customHeight="1">
      <c r="C22" s="1">
        <v>44050</v>
      </c>
      <c r="E22" s="2" t="s">
        <v>7802</v>
      </c>
      <c r="F22" s="15"/>
      <c r="G22" s="2" t="s">
        <v>8812</v>
      </c>
      <c r="H22" s="2" t="s">
        <v>8811</v>
      </c>
      <c r="I22" s="2"/>
      <c r="J22" s="2">
        <v>1</v>
      </c>
      <c r="K22" s="2"/>
      <c r="L22" s="3">
        <v>19.5</v>
      </c>
      <c r="M22" s="3">
        <v>1.95</v>
      </c>
      <c r="N22" s="3">
        <v>1.1599999999999999</v>
      </c>
      <c r="O22" s="3">
        <v>0</v>
      </c>
      <c r="P22" s="3">
        <v>0</v>
      </c>
      <c r="Q22" s="6">
        <f t="shared" si="42"/>
        <v>16.39</v>
      </c>
      <c r="R22" s="3"/>
      <c r="S22" s="3">
        <v>10.99</v>
      </c>
      <c r="T22" s="3">
        <v>1.26</v>
      </c>
      <c r="U22" s="3">
        <v>0</v>
      </c>
      <c r="V22" s="3">
        <v>0</v>
      </c>
      <c r="W22" s="3">
        <v>0</v>
      </c>
      <c r="X22" s="2">
        <f t="shared" ref="X22" si="43">+S22+T22++U22+V22-W22</f>
        <v>12.25</v>
      </c>
      <c r="Y22" s="6">
        <f t="shared" ref="Y22" si="44">+Q22-X22</f>
        <v>4.1400000000000006</v>
      </c>
      <c r="Z22" s="2"/>
      <c r="AA22" s="2"/>
      <c r="AB22" s="2"/>
      <c r="AC22" s="3"/>
      <c r="AD22" s="2"/>
      <c r="AE22" s="2"/>
      <c r="AF22" s="2"/>
      <c r="AG22" s="2"/>
      <c r="AH22" s="2" t="s">
        <v>8814</v>
      </c>
      <c r="AI22" s="2" t="s">
        <v>8813</v>
      </c>
      <c r="AJ22" s="2"/>
      <c r="AK22" s="2"/>
      <c r="AL22" s="2"/>
      <c r="AM22" s="2"/>
      <c r="AN22" s="2"/>
      <c r="AO22" s="2"/>
      <c r="AP22" s="2" t="s">
        <v>7938</v>
      </c>
      <c r="AQ22" s="2" t="s">
        <v>8488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ht="17.25" customHeight="1">
      <c r="B23" s="2" t="s">
        <v>8430</v>
      </c>
      <c r="C23" s="1">
        <v>44050</v>
      </c>
      <c r="E23" s="2" t="s">
        <v>8809</v>
      </c>
      <c r="F23" s="15"/>
      <c r="G23" s="2" t="s">
        <v>1935</v>
      </c>
      <c r="H23" s="2" t="s">
        <v>1936</v>
      </c>
      <c r="I23" s="2"/>
      <c r="J23" s="2">
        <v>1</v>
      </c>
      <c r="K23" s="2"/>
      <c r="L23" s="3">
        <v>13.5</v>
      </c>
      <c r="M23" s="3">
        <v>1.35</v>
      </c>
      <c r="N23" s="3">
        <v>0.94</v>
      </c>
      <c r="O23" s="3">
        <v>0.98</v>
      </c>
      <c r="P23" s="3">
        <f>0.98-0.98</f>
        <v>0</v>
      </c>
      <c r="Q23" s="6">
        <f t="shared" ref="Q23" si="45">+L23-M23-N23+P23</f>
        <v>11.21</v>
      </c>
      <c r="R23" s="3"/>
      <c r="S23" s="3">
        <v>3.14</v>
      </c>
      <c r="T23" s="3">
        <v>0.75</v>
      </c>
      <c r="U23" s="3">
        <v>4.4000000000000004</v>
      </c>
      <c r="V23" s="3"/>
      <c r="W23" s="3"/>
      <c r="X23" s="2">
        <f t="shared" ref="X23" si="46">+S23+T23++U23+V23-W23</f>
        <v>8.2900000000000009</v>
      </c>
      <c r="Y23" s="6">
        <f t="shared" ref="Y23" si="47">+Q23-X23</f>
        <v>2.92</v>
      </c>
      <c r="Z23" s="2"/>
      <c r="AA23" s="2"/>
      <c r="AB23" s="2"/>
      <c r="AC23" s="3"/>
      <c r="AD23" s="2"/>
      <c r="AE23" s="2"/>
      <c r="AF23" s="2"/>
      <c r="AG23" s="2"/>
      <c r="AH23" s="2" t="s">
        <v>1938</v>
      </c>
      <c r="AI23" s="2" t="s">
        <v>1937</v>
      </c>
      <c r="AJ23" s="2"/>
      <c r="AK23" s="2"/>
      <c r="AL23" s="2"/>
      <c r="AM23" s="2"/>
      <c r="AN23" s="2"/>
      <c r="AO23" s="16" t="s">
        <v>8941</v>
      </c>
      <c r="AP23" s="2" t="s">
        <v>8308</v>
      </c>
      <c r="AQ23" s="2" t="s">
        <v>8810</v>
      </c>
      <c r="AR23" s="16" t="s">
        <v>8942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ht="17.25" customHeight="1">
      <c r="C24" s="1">
        <v>44050</v>
      </c>
      <c r="E24" s="2" t="s">
        <v>8801</v>
      </c>
      <c r="F24" s="15"/>
      <c r="G24" s="2" t="s">
        <v>8808</v>
      </c>
      <c r="H24" s="2" t="s">
        <v>8807</v>
      </c>
      <c r="I24" s="2"/>
      <c r="J24" s="2">
        <v>1</v>
      </c>
      <c r="K24" s="2"/>
      <c r="L24" s="3">
        <v>72.5</v>
      </c>
      <c r="M24" s="3">
        <v>7.25</v>
      </c>
      <c r="N24" s="3">
        <v>3.78</v>
      </c>
      <c r="O24" s="3">
        <v>0</v>
      </c>
      <c r="P24" s="3">
        <v>6.53</v>
      </c>
      <c r="Q24" s="6">
        <f t="shared" ref="Q24" si="48">+L24-M24-N24+P24</f>
        <v>68</v>
      </c>
      <c r="R24" s="3"/>
      <c r="S24" s="3">
        <v>45.99</v>
      </c>
      <c r="T24" s="3"/>
      <c r="U24" s="3">
        <v>4.99</v>
      </c>
      <c r="V24" s="3"/>
      <c r="W24" s="3">
        <v>4.59</v>
      </c>
      <c r="X24" s="2">
        <f t="shared" ref="X24" si="49">+S24+T24++U24+V24-W24</f>
        <v>46.39</v>
      </c>
      <c r="Y24" s="6">
        <f t="shared" ref="Y24" si="50">+Q24-X24</f>
        <v>21.61</v>
      </c>
      <c r="Z24" s="2"/>
      <c r="AA24" s="2"/>
      <c r="AB24" s="2"/>
      <c r="AC24" s="3"/>
      <c r="AD24" s="2"/>
      <c r="AE24" s="2"/>
      <c r="AF24" s="2"/>
      <c r="AG24" s="2"/>
      <c r="AH24" s="2" t="s">
        <v>8808</v>
      </c>
      <c r="AI24" s="2" t="s">
        <v>8807</v>
      </c>
      <c r="AJ24" s="2"/>
      <c r="AK24" s="2"/>
      <c r="AL24" s="2"/>
      <c r="AM24" s="2"/>
      <c r="AN24" s="2"/>
      <c r="AO24" s="2"/>
      <c r="AP24" s="2" t="s">
        <v>7954</v>
      </c>
      <c r="AQ24" s="2" t="s">
        <v>8319</v>
      </c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ht="17.25" customHeight="1">
      <c r="C25" s="1">
        <v>44050</v>
      </c>
      <c r="E25" s="2" t="s">
        <v>8800</v>
      </c>
      <c r="F25" s="15"/>
      <c r="G25" s="2" t="s">
        <v>8803</v>
      </c>
      <c r="H25" s="2" t="s">
        <v>8802</v>
      </c>
      <c r="I25" s="2"/>
      <c r="J25" s="2">
        <v>1</v>
      </c>
      <c r="K25" s="2"/>
      <c r="L25" s="3">
        <v>59.5</v>
      </c>
      <c r="M25" s="3">
        <v>5.95</v>
      </c>
      <c r="N25" s="3">
        <v>3.1</v>
      </c>
      <c r="O25" s="3">
        <v>0</v>
      </c>
      <c r="P25" s="3">
        <v>4.17</v>
      </c>
      <c r="Q25" s="6">
        <f t="shared" ref="Q25" si="51">+L25-M25-N25+P25</f>
        <v>54.62</v>
      </c>
      <c r="R25" s="3"/>
      <c r="S25" s="3">
        <v>30.97</v>
      </c>
      <c r="T25" s="3">
        <v>1.86</v>
      </c>
      <c r="U25" s="3"/>
      <c r="V25" s="3"/>
      <c r="W25" s="3">
        <v>1.55</v>
      </c>
      <c r="X25" s="2">
        <f t="shared" ref="X25" si="52">+S25+T25++U25+V25-W25</f>
        <v>31.279999999999998</v>
      </c>
      <c r="Y25" s="6">
        <f t="shared" ref="Y25" si="53">+Q25-X25</f>
        <v>23.34</v>
      </c>
      <c r="Z25" s="2"/>
      <c r="AA25" s="2"/>
      <c r="AB25" s="2"/>
      <c r="AC25" s="3"/>
      <c r="AD25" s="2"/>
      <c r="AE25" s="2"/>
      <c r="AF25" s="2"/>
      <c r="AG25" s="2"/>
      <c r="AH25" s="2" t="s">
        <v>8805</v>
      </c>
      <c r="AI25" s="2" t="s">
        <v>8804</v>
      </c>
      <c r="AJ25" s="2"/>
      <c r="AK25" s="2"/>
      <c r="AL25" s="2"/>
      <c r="AM25" s="2"/>
      <c r="AN25" s="2"/>
      <c r="AO25" s="2"/>
      <c r="AP25" s="2" t="s">
        <v>5412</v>
      </c>
      <c r="AQ25" s="16" t="s">
        <v>8806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ht="17.25" customHeight="1">
      <c r="C26" s="1">
        <v>44050</v>
      </c>
      <c r="E26" s="2" t="s">
        <v>8456</v>
      </c>
      <c r="F26" s="15"/>
      <c r="G26" s="2" t="s">
        <v>8764</v>
      </c>
      <c r="H26" s="2" t="s">
        <v>8763</v>
      </c>
      <c r="I26" s="2"/>
      <c r="J26" s="2">
        <v>1</v>
      </c>
      <c r="K26" s="2"/>
      <c r="L26" s="3">
        <v>16.5</v>
      </c>
      <c r="M26" s="3">
        <v>1.65</v>
      </c>
      <c r="N26" s="3">
        <v>1.08</v>
      </c>
      <c r="O26" s="3">
        <v>1.1599999999999999</v>
      </c>
      <c r="P26" s="3">
        <f>1.16-1.16</f>
        <v>0</v>
      </c>
      <c r="Q26" s="6">
        <f t="shared" ref="Q26" si="54">+L26-M26-N26+P26</f>
        <v>13.77</v>
      </c>
      <c r="R26" s="3"/>
      <c r="S26" s="3">
        <v>8.99</v>
      </c>
      <c r="T26" s="3">
        <v>0</v>
      </c>
      <c r="U26" s="3"/>
      <c r="V26" s="3"/>
      <c r="W26" s="3">
        <v>0.45</v>
      </c>
      <c r="X26" s="2">
        <f t="shared" ref="X26" si="55">+S26+T26++U26+V26-W26</f>
        <v>8.5400000000000009</v>
      </c>
      <c r="Y26" s="6">
        <f t="shared" ref="Y26" si="56">+Q26-X26</f>
        <v>5.2299999999999986</v>
      </c>
      <c r="Z26" s="2"/>
      <c r="AA26" s="2"/>
      <c r="AB26" s="2"/>
      <c r="AC26" s="3"/>
      <c r="AD26" s="2"/>
      <c r="AE26" s="2"/>
      <c r="AF26" s="2"/>
      <c r="AG26" s="2"/>
      <c r="AH26" s="2" t="s">
        <v>8766</v>
      </c>
      <c r="AI26" s="2" t="s">
        <v>8765</v>
      </c>
      <c r="AJ26" s="2"/>
      <c r="AK26" s="2"/>
      <c r="AL26" s="2"/>
      <c r="AM26" s="2"/>
      <c r="AN26" s="2"/>
      <c r="AO26" s="2" t="s">
        <v>8771</v>
      </c>
      <c r="AP26" s="2" t="s">
        <v>8376</v>
      </c>
      <c r="AQ26" s="2" t="s">
        <v>8461</v>
      </c>
      <c r="AR26" s="16" t="s">
        <v>8150</v>
      </c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ht="17.25" customHeight="1">
      <c r="C27" s="1">
        <v>44050</v>
      </c>
      <c r="E27" s="2" t="s">
        <v>8752</v>
      </c>
      <c r="F27" s="15"/>
      <c r="G27" s="2" t="s">
        <v>8754</v>
      </c>
      <c r="H27" s="2" t="s">
        <v>8753</v>
      </c>
      <c r="I27" s="2"/>
      <c r="J27" s="2">
        <v>1</v>
      </c>
      <c r="K27" s="2"/>
      <c r="L27" s="3">
        <v>84.5</v>
      </c>
      <c r="M27" s="3">
        <v>8.4499999999999993</v>
      </c>
      <c r="N27" s="3">
        <v>4.21</v>
      </c>
      <c r="O27" s="3">
        <v>4.33</v>
      </c>
      <c r="P27" s="3">
        <f>4.33-4.33</f>
        <v>0</v>
      </c>
      <c r="Q27" s="6">
        <f t="shared" ref="Q27:Q28" si="57">+L27-M27-N27+P27</f>
        <v>71.84</v>
      </c>
      <c r="R27" s="3"/>
      <c r="S27" s="3">
        <v>65.19</v>
      </c>
      <c r="T27" s="3">
        <v>3.34</v>
      </c>
      <c r="U27" s="3"/>
      <c r="V27" s="3"/>
      <c r="W27" s="3">
        <v>6.51</v>
      </c>
      <c r="X27" s="2">
        <f t="shared" ref="X27:X28" si="58">+S27+T27++U27+V27-W27</f>
        <v>62.02</v>
      </c>
      <c r="Y27" s="6">
        <f t="shared" ref="Y27:Y28" si="59">+Q27-X27</f>
        <v>9.82</v>
      </c>
      <c r="Z27" s="6">
        <f>SUM(Y22:Y27)</f>
        <v>67.06</v>
      </c>
      <c r="AA27" s="2">
        <f>SUM(J22:J27)</f>
        <v>6</v>
      </c>
      <c r="AB27" s="2"/>
      <c r="AC27" s="3"/>
      <c r="AD27" s="2"/>
      <c r="AE27" s="2"/>
      <c r="AF27" s="2"/>
      <c r="AG27" s="2"/>
      <c r="AH27" s="2" t="s">
        <v>8756</v>
      </c>
      <c r="AI27" s="2" t="s">
        <v>8755</v>
      </c>
      <c r="AJ27" s="2"/>
      <c r="AK27" s="2"/>
      <c r="AL27" s="2"/>
      <c r="AM27" s="2"/>
      <c r="AN27" s="2"/>
      <c r="AO27" s="2"/>
      <c r="AP27" s="2" t="s">
        <v>8757</v>
      </c>
      <c r="AQ27" s="2" t="s">
        <v>7857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ht="17.25" customHeight="1">
      <c r="C28" s="1">
        <v>44049</v>
      </c>
      <c r="E28" s="2" t="s">
        <v>8533</v>
      </c>
      <c r="F28" s="15"/>
      <c r="G28" s="2" t="s">
        <v>8759</v>
      </c>
      <c r="H28" s="2" t="s">
        <v>8758</v>
      </c>
      <c r="I28" s="2"/>
      <c r="J28" s="2">
        <v>1</v>
      </c>
      <c r="K28" s="2"/>
      <c r="L28" s="3">
        <v>54.5</v>
      </c>
      <c r="M28" s="3">
        <v>5.45</v>
      </c>
      <c r="N28" s="3">
        <v>2.86</v>
      </c>
      <c r="O28" s="3">
        <v>3.68</v>
      </c>
      <c r="P28" s="3">
        <f>3.68-3.68</f>
        <v>0</v>
      </c>
      <c r="Q28" s="6">
        <f t="shared" si="57"/>
        <v>46.19</v>
      </c>
      <c r="R28" s="3"/>
      <c r="S28" s="3">
        <v>18.989999999999998</v>
      </c>
      <c r="T28" s="3">
        <v>1.28</v>
      </c>
      <c r="U28" s="3"/>
      <c r="V28" s="3"/>
      <c r="W28" s="3">
        <v>0.95</v>
      </c>
      <c r="X28" s="2">
        <f t="shared" si="58"/>
        <v>19.32</v>
      </c>
      <c r="Y28" s="6">
        <f t="shared" si="59"/>
        <v>26.869999999999997</v>
      </c>
      <c r="Z28" s="2"/>
      <c r="AA28" s="2"/>
      <c r="AB28" s="2"/>
      <c r="AC28" s="3"/>
      <c r="AD28" s="2"/>
      <c r="AE28" s="2"/>
      <c r="AF28" s="2"/>
      <c r="AG28" s="2"/>
      <c r="AH28" s="2" t="s">
        <v>8761</v>
      </c>
      <c r="AI28" s="2" t="s">
        <v>8760</v>
      </c>
      <c r="AJ28" s="2"/>
      <c r="AK28" s="2"/>
      <c r="AL28" s="2"/>
      <c r="AM28" s="2"/>
      <c r="AN28" s="2"/>
      <c r="AO28" s="2" t="s">
        <v>8894</v>
      </c>
      <c r="AP28" s="2" t="s">
        <v>8376</v>
      </c>
      <c r="AQ28" s="2" t="s">
        <v>8536</v>
      </c>
      <c r="AR28" s="16" t="s">
        <v>8150</v>
      </c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ht="17.25" customHeight="1">
      <c r="C29" s="1">
        <v>44049</v>
      </c>
      <c r="E29" s="2" t="s">
        <v>7894</v>
      </c>
      <c r="F29" s="15"/>
      <c r="G29" s="2" t="s">
        <v>8719</v>
      </c>
      <c r="H29" s="2" t="s">
        <v>8718</v>
      </c>
      <c r="I29" s="2"/>
      <c r="J29" s="2">
        <v>2</v>
      </c>
      <c r="K29" s="2"/>
      <c r="L29" s="3">
        <v>71.900000000000006</v>
      </c>
      <c r="M29" s="3">
        <v>7.19</v>
      </c>
      <c r="N29" s="3">
        <v>3.74</v>
      </c>
      <c r="O29" s="3">
        <v>6.2</v>
      </c>
      <c r="P29" s="3">
        <f>6.2-6.2</f>
        <v>0</v>
      </c>
      <c r="Q29" s="6">
        <f t="shared" ref="Q29" si="60">+L29-M29-N29+P29</f>
        <v>60.970000000000006</v>
      </c>
      <c r="R29" s="3"/>
      <c r="S29" s="3">
        <v>33.979999999999997</v>
      </c>
      <c r="T29" s="3">
        <v>3.36</v>
      </c>
      <c r="U29" s="3">
        <v>5</v>
      </c>
      <c r="V29" s="3"/>
      <c r="W29" s="3">
        <v>0</v>
      </c>
      <c r="X29" s="2">
        <f t="shared" ref="X29" si="61">+S29+T29++U29+V29-W29</f>
        <v>42.339999999999996</v>
      </c>
      <c r="Y29" s="6">
        <f t="shared" ref="Y29" si="62">+Q29-X29</f>
        <v>18.63000000000001</v>
      </c>
      <c r="Z29" s="2"/>
      <c r="AA29" s="2"/>
      <c r="AB29" s="2"/>
      <c r="AC29" s="3"/>
      <c r="AD29" s="2"/>
      <c r="AE29" s="2"/>
      <c r="AF29" s="2"/>
      <c r="AG29" s="2"/>
      <c r="AH29" s="2" t="s">
        <v>8721</v>
      </c>
      <c r="AI29" s="2" t="s">
        <v>8720</v>
      </c>
      <c r="AJ29" s="2"/>
      <c r="AK29" s="2"/>
      <c r="AL29" s="2"/>
      <c r="AM29" s="2"/>
      <c r="AN29" s="2"/>
      <c r="AO29" s="2" t="s">
        <v>8890</v>
      </c>
      <c r="AP29" s="2" t="s">
        <v>8081</v>
      </c>
      <c r="AQ29" s="2" t="s">
        <v>8717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ht="17.25" customHeight="1">
      <c r="C30" s="1">
        <v>44049</v>
      </c>
      <c r="E30" s="2" t="s">
        <v>8533</v>
      </c>
      <c r="F30" s="15"/>
      <c r="G30" s="2" t="s">
        <v>8704</v>
      </c>
      <c r="H30" s="2" t="s">
        <v>8703</v>
      </c>
      <c r="I30" s="2"/>
      <c r="J30" s="2">
        <v>1</v>
      </c>
      <c r="K30" s="2"/>
      <c r="L30" s="3">
        <v>54.5</v>
      </c>
      <c r="M30" s="3">
        <v>5.45</v>
      </c>
      <c r="N30" s="3">
        <v>2.7</v>
      </c>
      <c r="O30" s="3">
        <v>0</v>
      </c>
      <c r="P30" s="3">
        <f>3.82-3.82</f>
        <v>0</v>
      </c>
      <c r="Q30" s="6">
        <f t="shared" ref="Q30" si="63">+L30-M30-N30+P30</f>
        <v>46.349999999999994</v>
      </c>
      <c r="R30" s="3"/>
      <c r="S30" s="3">
        <v>18.989999999999998</v>
      </c>
      <c r="T30" s="3">
        <v>2.1800000000000002</v>
      </c>
      <c r="U30" s="3"/>
      <c r="V30" s="3"/>
      <c r="W30" s="3">
        <v>0.95</v>
      </c>
      <c r="X30" s="2">
        <f t="shared" ref="X30" si="64">+S30+T30++U30+V30-W30</f>
        <v>20.22</v>
      </c>
      <c r="Y30" s="6">
        <f t="shared" ref="Y30" si="65">+Q30-X30</f>
        <v>26.129999999999995</v>
      </c>
      <c r="Z30" s="6">
        <f>SUM(Y28:Y30)</f>
        <v>71.63</v>
      </c>
      <c r="AA30" s="2">
        <f>SUM(J28:J30)</f>
        <v>4</v>
      </c>
      <c r="AB30" s="2"/>
      <c r="AC30" s="3"/>
      <c r="AD30" s="2"/>
      <c r="AE30" s="2"/>
      <c r="AF30" s="2"/>
      <c r="AG30" s="2"/>
      <c r="AH30" s="2" t="s">
        <v>8706</v>
      </c>
      <c r="AI30" s="2" t="s">
        <v>8705</v>
      </c>
      <c r="AJ30" s="2"/>
      <c r="AK30" s="2"/>
      <c r="AL30" s="2"/>
      <c r="AM30" s="2"/>
      <c r="AN30" s="2"/>
      <c r="AO30" s="2" t="s">
        <v>8894</v>
      </c>
      <c r="AP30" s="2" t="s">
        <v>5412</v>
      </c>
      <c r="AQ30" s="2" t="s">
        <v>8536</v>
      </c>
      <c r="AR30" s="16" t="s">
        <v>8150</v>
      </c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58" ht="17.25" customHeight="1">
      <c r="C31" s="1">
        <v>44048</v>
      </c>
      <c r="E31" s="2" t="s">
        <v>7802</v>
      </c>
      <c r="F31" s="15"/>
      <c r="G31" s="2" t="s">
        <v>8691</v>
      </c>
      <c r="H31" s="2" t="s">
        <v>8690</v>
      </c>
      <c r="I31" s="2"/>
      <c r="J31" s="2">
        <v>1</v>
      </c>
      <c r="K31" s="2"/>
      <c r="L31" s="3">
        <v>19.5</v>
      </c>
      <c r="M31" s="3">
        <v>1.95</v>
      </c>
      <c r="N31" s="3">
        <v>1.22</v>
      </c>
      <c r="O31" s="3">
        <v>0</v>
      </c>
      <c r="P31" s="3">
        <v>1.37</v>
      </c>
      <c r="Q31" s="6">
        <f t="shared" ref="Q31:Q32" si="66">+L31-M31-N31+P31</f>
        <v>17.700000000000003</v>
      </c>
      <c r="R31" s="3"/>
      <c r="S31" s="3">
        <v>10.99</v>
      </c>
      <c r="T31" s="3">
        <v>0.77</v>
      </c>
      <c r="U31" s="3">
        <v>0</v>
      </c>
      <c r="V31" s="3">
        <v>0</v>
      </c>
      <c r="W31" s="3">
        <v>0</v>
      </c>
      <c r="X31" s="2">
        <f t="shared" ref="X31" si="67">+S31+T31++U31+V31-W31</f>
        <v>11.76</v>
      </c>
      <c r="Y31" s="6">
        <f t="shared" ref="Y31" si="68">+Q31-X31</f>
        <v>5.9400000000000031</v>
      </c>
      <c r="Z31" s="2"/>
      <c r="AA31" s="2"/>
      <c r="AB31" s="2"/>
      <c r="AC31" s="3"/>
      <c r="AD31" s="2"/>
      <c r="AE31" s="2"/>
      <c r="AF31" s="2"/>
      <c r="AG31" s="2"/>
      <c r="AH31" s="2" t="s">
        <v>8693</v>
      </c>
      <c r="AI31" s="2" t="s">
        <v>8692</v>
      </c>
      <c r="AJ31" s="2"/>
      <c r="AK31" s="2"/>
      <c r="AL31" s="2" t="s">
        <v>7873</v>
      </c>
      <c r="AM31" s="22" t="s">
        <v>8874</v>
      </c>
      <c r="AN31" s="2"/>
      <c r="AO31" s="2" t="s">
        <v>8794</v>
      </c>
      <c r="AP31" s="2" t="s">
        <v>7938</v>
      </c>
      <c r="AQ31" s="2" t="s">
        <v>8488</v>
      </c>
      <c r="AR31" s="16" t="s">
        <v>8677</v>
      </c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2:58" ht="17.25" customHeight="1">
      <c r="C32" s="1">
        <v>44048</v>
      </c>
      <c r="E32" s="2" t="s">
        <v>8696</v>
      </c>
      <c r="F32" s="15"/>
      <c r="G32" s="2" t="s">
        <v>8695</v>
      </c>
      <c r="H32" s="2" t="s">
        <v>8694</v>
      </c>
      <c r="I32" s="2"/>
      <c r="J32" s="2">
        <v>1</v>
      </c>
      <c r="K32" s="2"/>
      <c r="L32" s="3">
        <v>11.95</v>
      </c>
      <c r="M32" s="3">
        <v>1.19</v>
      </c>
      <c r="N32" s="3">
        <v>0.86</v>
      </c>
      <c r="O32" s="3"/>
      <c r="P32" s="3">
        <v>0.84</v>
      </c>
      <c r="Q32" s="6">
        <f t="shared" si="66"/>
        <v>10.74</v>
      </c>
      <c r="R32" s="3"/>
      <c r="S32" s="3">
        <v>6.55</v>
      </c>
      <c r="T32" s="3">
        <v>0.46</v>
      </c>
      <c r="U32" s="3"/>
      <c r="V32" s="3"/>
      <c r="W32" s="3"/>
      <c r="X32" s="2">
        <f t="shared" ref="X32" si="69">+S32+T32++U32+V32-W32</f>
        <v>7.01</v>
      </c>
      <c r="Y32" s="6">
        <f t="shared" ref="Y32" si="70">+Q32-X32</f>
        <v>3.7300000000000004</v>
      </c>
      <c r="Z32" s="2"/>
      <c r="AA32" s="2"/>
      <c r="AB32" s="2"/>
      <c r="AC32" s="3"/>
      <c r="AD32" s="2"/>
      <c r="AE32" s="2"/>
      <c r="AF32" s="2"/>
      <c r="AG32" s="2"/>
      <c r="AH32" s="2" t="s">
        <v>8698</v>
      </c>
      <c r="AI32" s="2" t="s">
        <v>8697</v>
      </c>
      <c r="AJ32" s="2"/>
      <c r="AK32" s="2"/>
      <c r="AL32" s="2"/>
      <c r="AM32" s="2"/>
      <c r="AN32" s="2"/>
      <c r="AO32" s="2" t="s">
        <v>8944</v>
      </c>
      <c r="AP32" s="2" t="s">
        <v>8946</v>
      </c>
      <c r="AQ32" s="2" t="s">
        <v>8699</v>
      </c>
      <c r="AR32" s="16" t="s">
        <v>8945</v>
      </c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3:58" ht="17.25" customHeight="1">
      <c r="C33" s="1">
        <v>44048</v>
      </c>
      <c r="E33" s="2" t="s">
        <v>8648</v>
      </c>
      <c r="F33" s="15"/>
      <c r="G33" s="2" t="s">
        <v>8681</v>
      </c>
      <c r="H33" s="2" t="s">
        <v>8680</v>
      </c>
      <c r="I33" s="2"/>
      <c r="J33" s="2">
        <v>1</v>
      </c>
      <c r="K33" s="2"/>
      <c r="L33" s="3">
        <v>51.75</v>
      </c>
      <c r="M33" s="3">
        <v>5.17</v>
      </c>
      <c r="N33" s="3">
        <v>2.74</v>
      </c>
      <c r="O33" s="3">
        <v>0</v>
      </c>
      <c r="P33" s="3">
        <v>3.62</v>
      </c>
      <c r="Q33" s="6">
        <f t="shared" ref="Q33" si="71">+L33-M33-N33+P33</f>
        <v>47.459999999999994</v>
      </c>
      <c r="R33" s="3"/>
      <c r="S33" s="3">
        <v>35.99</v>
      </c>
      <c r="T33" s="3">
        <v>2.16</v>
      </c>
      <c r="U33" s="3"/>
      <c r="V33" s="3"/>
      <c r="W33" s="3">
        <v>1.8</v>
      </c>
      <c r="X33" s="3">
        <f t="shared" ref="X33" si="72">+S33+T33++U33+V33-W33</f>
        <v>36.350000000000009</v>
      </c>
      <c r="Y33" s="6">
        <f t="shared" ref="Y33" si="73">+Q33-X33</f>
        <v>11.109999999999985</v>
      </c>
      <c r="Z33" s="2"/>
      <c r="AA33" s="2"/>
      <c r="AB33" s="2"/>
      <c r="AC33" s="3"/>
      <c r="AD33" s="2"/>
      <c r="AE33" s="2"/>
      <c r="AF33" s="2"/>
      <c r="AG33" s="2"/>
      <c r="AH33" s="2" t="s">
        <v>8683</v>
      </c>
      <c r="AI33" s="2" t="s">
        <v>8682</v>
      </c>
      <c r="AJ33" s="2"/>
      <c r="AK33" s="2"/>
      <c r="AL33" s="2" t="s">
        <v>7833</v>
      </c>
      <c r="AM33" s="2" t="s">
        <v>8879</v>
      </c>
      <c r="AN33" s="2"/>
      <c r="AO33" s="2" t="s">
        <v>8824</v>
      </c>
      <c r="AP33" s="2" t="s">
        <v>8821</v>
      </c>
      <c r="AQ33" s="2" t="s">
        <v>8651</v>
      </c>
      <c r="AR33" s="16" t="s">
        <v>8822</v>
      </c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3:58" ht="17.25" customHeight="1">
      <c r="C34" s="1">
        <v>44048</v>
      </c>
      <c r="E34" s="2" t="s">
        <v>8161</v>
      </c>
      <c r="F34" s="15"/>
      <c r="G34" s="2" t="s">
        <v>8673</v>
      </c>
      <c r="H34" s="2" t="s">
        <v>8672</v>
      </c>
      <c r="I34" s="2"/>
      <c r="J34" s="2">
        <v>1</v>
      </c>
      <c r="K34" s="2"/>
      <c r="L34" s="3">
        <v>19.5</v>
      </c>
      <c r="M34" s="3">
        <v>1.95</v>
      </c>
      <c r="N34" s="3">
        <v>1.23</v>
      </c>
      <c r="O34" s="3">
        <v>1.22</v>
      </c>
      <c r="P34" s="3">
        <f>1.22-1.22</f>
        <v>0</v>
      </c>
      <c r="Q34" s="6">
        <f t="shared" ref="Q34" si="74">+L34-M34-N34+P34</f>
        <v>16.32</v>
      </c>
      <c r="R34" s="3"/>
      <c r="S34" s="3">
        <v>8.99</v>
      </c>
      <c r="T34" s="3">
        <v>0.77</v>
      </c>
      <c r="U34" s="3"/>
      <c r="V34" s="3"/>
      <c r="W34" s="3">
        <v>0.45</v>
      </c>
      <c r="X34" s="2">
        <f t="shared" ref="X34" si="75">+S34+T34++U34+V34-W34</f>
        <v>9.31</v>
      </c>
      <c r="Y34" s="6">
        <f t="shared" ref="Y34" si="76">+Q34-X34</f>
        <v>7.01</v>
      </c>
      <c r="Z34" s="2"/>
      <c r="AA34" s="2"/>
      <c r="AB34" s="2"/>
      <c r="AC34" s="3"/>
      <c r="AD34" s="2"/>
      <c r="AE34" s="2"/>
      <c r="AF34" s="2"/>
      <c r="AG34" s="2"/>
      <c r="AH34" s="2" t="s">
        <v>8675</v>
      </c>
      <c r="AI34" s="2" t="s">
        <v>8674</v>
      </c>
      <c r="AJ34" s="2"/>
      <c r="AK34" s="2"/>
      <c r="AL34" s="2"/>
      <c r="AM34" s="2"/>
      <c r="AN34" s="2"/>
      <c r="AO34" s="2" t="s">
        <v>8816</v>
      </c>
      <c r="AP34" s="2" t="s">
        <v>8650</v>
      </c>
      <c r="AQ34" s="2" t="s">
        <v>8161</v>
      </c>
      <c r="AR34" s="16" t="s">
        <v>8150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3:58" ht="17.25" customHeight="1">
      <c r="C35" s="1">
        <v>44048</v>
      </c>
      <c r="E35" s="2" t="s">
        <v>7802</v>
      </c>
      <c r="F35" s="15"/>
      <c r="G35" s="2" t="s">
        <v>8666</v>
      </c>
      <c r="H35" s="2" t="s">
        <v>8665</v>
      </c>
      <c r="I35" s="2"/>
      <c r="J35" s="2">
        <v>1</v>
      </c>
      <c r="K35" s="2"/>
      <c r="L35" s="3">
        <v>18.75</v>
      </c>
      <c r="M35" s="3">
        <v>1.87</v>
      </c>
      <c r="N35" s="3">
        <v>1.18</v>
      </c>
      <c r="O35" s="3">
        <v>1.24</v>
      </c>
      <c r="P35" s="3">
        <f>1.24-1.24</f>
        <v>0</v>
      </c>
      <c r="Q35" s="6">
        <f t="shared" ref="Q35" si="77">+L35-M35-N35+P35</f>
        <v>15.7</v>
      </c>
      <c r="R35" s="3"/>
      <c r="S35" s="3">
        <v>10.99</v>
      </c>
      <c r="T35" s="3">
        <v>0.73</v>
      </c>
      <c r="U35" s="3">
        <v>0</v>
      </c>
      <c r="V35" s="3">
        <v>0</v>
      </c>
      <c r="W35" s="3">
        <v>0</v>
      </c>
      <c r="X35" s="2">
        <f t="shared" ref="X35" si="78">+S35+T35++U35+V35-W35</f>
        <v>11.72</v>
      </c>
      <c r="Y35" s="6">
        <f t="shared" ref="Y35" si="79">+Q35-X35</f>
        <v>3.9799999999999986</v>
      </c>
      <c r="Z35" s="2"/>
      <c r="AA35" s="2"/>
      <c r="AB35" s="2"/>
      <c r="AC35" s="3"/>
      <c r="AD35" s="2"/>
      <c r="AE35" s="2"/>
      <c r="AF35" s="2"/>
      <c r="AG35" s="2"/>
      <c r="AH35" s="2" t="s">
        <v>8668</v>
      </c>
      <c r="AI35" s="2" t="s">
        <v>8667</v>
      </c>
      <c r="AJ35" s="2"/>
      <c r="AK35" s="2"/>
      <c r="AL35" s="2" t="s">
        <v>7873</v>
      </c>
      <c r="AM35" s="16" t="s">
        <v>8735</v>
      </c>
      <c r="AN35" s="2"/>
      <c r="AO35" s="2" t="s">
        <v>8669</v>
      </c>
      <c r="AP35" s="2" t="s">
        <v>7938</v>
      </c>
      <c r="AQ35" s="2" t="s">
        <v>8488</v>
      </c>
      <c r="AR35" s="16" t="s">
        <v>8530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3:58" ht="17.25" customHeight="1">
      <c r="C36" s="1">
        <v>44048</v>
      </c>
      <c r="E36" s="2" t="s">
        <v>8035</v>
      </c>
      <c r="F36" s="15"/>
      <c r="G36" s="2" t="s">
        <v>8662</v>
      </c>
      <c r="H36" s="2" t="s">
        <v>8661</v>
      </c>
      <c r="I36" s="2"/>
      <c r="J36" s="2">
        <v>1</v>
      </c>
      <c r="K36" s="2"/>
      <c r="L36" s="3">
        <v>33.85</v>
      </c>
      <c r="M36" s="3">
        <v>3.38</v>
      </c>
      <c r="N36" s="3">
        <v>1.93</v>
      </c>
      <c r="O36" s="3">
        <v>3.22</v>
      </c>
      <c r="P36" s="3">
        <f>3.22-3.22</f>
        <v>0</v>
      </c>
      <c r="Q36" s="6">
        <f t="shared" ref="Q36" si="80">+L36-M36-N36+P36</f>
        <v>28.540000000000003</v>
      </c>
      <c r="R36" s="3"/>
      <c r="S36" s="3">
        <v>10.78</v>
      </c>
      <c r="T36" s="3">
        <v>1.02</v>
      </c>
      <c r="U36" s="3"/>
      <c r="V36" s="3"/>
      <c r="W36" s="3">
        <v>0</v>
      </c>
      <c r="X36" s="2">
        <f t="shared" ref="X36" si="81">+S36+T36++U36+V36-W36</f>
        <v>11.799999999999999</v>
      </c>
      <c r="Y36" s="6">
        <f t="shared" ref="Y36" si="82">+Q36-X36</f>
        <v>16.740000000000002</v>
      </c>
      <c r="Z36" s="2"/>
      <c r="AA36" s="2"/>
      <c r="AB36" s="2"/>
      <c r="AC36" s="3"/>
      <c r="AD36" s="2"/>
      <c r="AE36" s="2"/>
      <c r="AF36" s="2"/>
      <c r="AG36" s="2"/>
      <c r="AH36" s="2" t="s">
        <v>8664</v>
      </c>
      <c r="AI36" s="2" t="s">
        <v>8663</v>
      </c>
      <c r="AJ36" s="2"/>
      <c r="AK36" s="2"/>
      <c r="AL36" s="2"/>
      <c r="AM36" s="2"/>
      <c r="AN36" s="2"/>
      <c r="AO36" s="2" t="s">
        <v>8825</v>
      </c>
      <c r="AP36" s="2" t="s">
        <v>8821</v>
      </c>
      <c r="AQ36" s="2" t="s">
        <v>8040</v>
      </c>
      <c r="AR36" s="16" t="s">
        <v>8826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3:58" ht="17.25" customHeight="1">
      <c r="C37" s="1">
        <v>44048</v>
      </c>
      <c r="E37" s="2" t="s">
        <v>7915</v>
      </c>
      <c r="F37" s="15"/>
      <c r="G37" s="2" t="s">
        <v>8658</v>
      </c>
      <c r="H37" s="2" t="s">
        <v>8657</v>
      </c>
      <c r="I37" s="2"/>
      <c r="J37" s="2">
        <v>1</v>
      </c>
      <c r="K37" s="2"/>
      <c r="L37" s="3">
        <v>52.95</v>
      </c>
      <c r="M37" s="3">
        <v>5.29</v>
      </c>
      <c r="N37" s="3">
        <v>2.77</v>
      </c>
      <c r="O37" s="3">
        <v>3.18</v>
      </c>
      <c r="P37" s="3">
        <f>3.18-3.18</f>
        <v>0</v>
      </c>
      <c r="Q37" s="6">
        <f t="shared" ref="Q37" si="83">+L37-M37-N37+P37</f>
        <v>44.89</v>
      </c>
      <c r="R37" s="3"/>
      <c r="S37" s="3">
        <v>29.99</v>
      </c>
      <c r="T37" s="3">
        <v>1.8</v>
      </c>
      <c r="U37" s="3">
        <v>5</v>
      </c>
      <c r="V37" s="3"/>
      <c r="W37" s="3"/>
      <c r="X37" s="2">
        <f t="shared" ref="X37" si="84">+S37+T37++U37+V37-W37</f>
        <v>36.79</v>
      </c>
      <c r="Y37" s="6">
        <f t="shared" ref="Y37" si="85">+Q37-X37</f>
        <v>8.1000000000000014</v>
      </c>
      <c r="Z37" s="2"/>
      <c r="AA37" s="2"/>
      <c r="AB37" s="2"/>
      <c r="AC37" s="3"/>
      <c r="AD37" s="2"/>
      <c r="AE37" s="2"/>
      <c r="AF37" s="2"/>
      <c r="AG37" s="2"/>
      <c r="AH37" s="2" t="s">
        <v>8660</v>
      </c>
      <c r="AI37" s="2" t="s">
        <v>8659</v>
      </c>
      <c r="AJ37" s="2"/>
      <c r="AK37" s="2"/>
      <c r="AL37" s="2"/>
      <c r="AM37" s="2"/>
      <c r="AN37" s="2"/>
      <c r="AO37" s="2" t="s">
        <v>8892</v>
      </c>
      <c r="AP37" s="2" t="s">
        <v>8081</v>
      </c>
      <c r="AQ37" s="2" t="s">
        <v>7915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3:58" ht="17.25" customHeight="1">
      <c r="C38" s="1">
        <v>44048</v>
      </c>
      <c r="E38" s="2" t="s">
        <v>8649</v>
      </c>
      <c r="F38" s="15"/>
      <c r="G38" s="2" t="s">
        <v>8653</v>
      </c>
      <c r="H38" s="2" t="s">
        <v>8652</v>
      </c>
      <c r="I38" s="2"/>
      <c r="J38" s="2">
        <v>1</v>
      </c>
      <c r="K38" s="2"/>
      <c r="L38" s="3">
        <v>34.75</v>
      </c>
      <c r="M38" s="3">
        <v>3.47</v>
      </c>
      <c r="N38" s="3">
        <v>1.95</v>
      </c>
      <c r="O38" s="3">
        <v>2.09</v>
      </c>
      <c r="P38" s="3">
        <f>2.09-2.09</f>
        <v>0</v>
      </c>
      <c r="Q38" s="6">
        <f t="shared" ref="Q38:Q39" si="86">+L38-M38-N38+P38</f>
        <v>29.330000000000002</v>
      </c>
      <c r="R38" s="3"/>
      <c r="S38" s="3">
        <v>25</v>
      </c>
      <c r="T38" s="3">
        <v>2</v>
      </c>
      <c r="U38" s="3"/>
      <c r="V38" s="3"/>
      <c r="W38" s="3"/>
      <c r="X38" s="3">
        <f t="shared" ref="X38" si="87">+S38+T38++U38+V38-W38</f>
        <v>27</v>
      </c>
      <c r="Y38" s="6">
        <f t="shared" ref="Y38" si="88">+Q38-X38</f>
        <v>2.3300000000000018</v>
      </c>
      <c r="Z38" s="2"/>
      <c r="AA38" s="2"/>
      <c r="AB38" s="2"/>
      <c r="AC38" s="3"/>
      <c r="AD38" s="2"/>
      <c r="AE38" s="2"/>
      <c r="AF38" s="2"/>
      <c r="AG38" s="2"/>
      <c r="AH38" s="2" t="s">
        <v>8655</v>
      </c>
      <c r="AI38" s="2" t="s">
        <v>8654</v>
      </c>
      <c r="AJ38" s="2"/>
      <c r="AK38" s="2"/>
      <c r="AL38" s="2"/>
      <c r="AM38" s="2"/>
      <c r="AN38" s="2"/>
      <c r="AO38" s="2"/>
      <c r="AP38" s="5" t="s">
        <v>8888</v>
      </c>
      <c r="AQ38" s="2" t="s">
        <v>8656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3:58" ht="17.25" customHeight="1">
      <c r="C39" s="1">
        <v>44048</v>
      </c>
      <c r="E39" s="2" t="s">
        <v>8648</v>
      </c>
      <c r="F39" s="15"/>
      <c r="G39" s="2" t="s">
        <v>1190</v>
      </c>
      <c r="H39" s="2" t="s">
        <v>1191</v>
      </c>
      <c r="I39" s="2"/>
      <c r="J39" s="2">
        <v>1</v>
      </c>
      <c r="K39" s="2"/>
      <c r="L39" s="3">
        <v>51.75</v>
      </c>
      <c r="M39" s="3">
        <v>5.17</v>
      </c>
      <c r="N39" s="3">
        <v>2.74</v>
      </c>
      <c r="O39" s="3">
        <v>0</v>
      </c>
      <c r="P39" s="3">
        <v>3.62</v>
      </c>
      <c r="Q39" s="6">
        <f t="shared" si="86"/>
        <v>47.459999999999994</v>
      </c>
      <c r="R39" s="3"/>
      <c r="S39" s="3">
        <v>28.79</v>
      </c>
      <c r="T39" s="3">
        <v>0</v>
      </c>
      <c r="U39" s="3"/>
      <c r="V39" s="3"/>
      <c r="W39" s="3">
        <v>0</v>
      </c>
      <c r="X39" s="3">
        <f t="shared" ref="X39" si="89">+S39+T39++U39+V39-W39</f>
        <v>28.79</v>
      </c>
      <c r="Y39" s="6">
        <f t="shared" ref="Y39" si="90">+Q39-X39</f>
        <v>18.669999999999995</v>
      </c>
      <c r="Z39" s="6">
        <f>SUM(Y31:Y39)</f>
        <v>77.609999999999985</v>
      </c>
      <c r="AA39" s="2">
        <f>SUM(J31:J39)</f>
        <v>9</v>
      </c>
      <c r="AB39" s="2"/>
      <c r="AC39" s="3"/>
      <c r="AD39" s="2"/>
      <c r="AE39" s="2"/>
      <c r="AF39" s="2"/>
      <c r="AG39" s="2"/>
      <c r="AH39" s="2" t="s">
        <v>1193</v>
      </c>
      <c r="AI39" s="2" t="s">
        <v>1192</v>
      </c>
      <c r="AJ39" s="2"/>
      <c r="AK39" s="2"/>
      <c r="AL39" s="2" t="s">
        <v>7833</v>
      </c>
      <c r="AM39" s="2" t="s">
        <v>8878</v>
      </c>
      <c r="AN39" s="2"/>
      <c r="AO39" s="2" t="s">
        <v>8823</v>
      </c>
      <c r="AP39" s="2" t="s">
        <v>8821</v>
      </c>
      <c r="AQ39" s="2" t="s">
        <v>8651</v>
      </c>
      <c r="AR39" s="16" t="s">
        <v>8822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3:58" ht="17.25" customHeight="1">
      <c r="C40" s="1">
        <v>44047</v>
      </c>
      <c r="E40" s="2" t="s">
        <v>8598</v>
      </c>
      <c r="F40" s="15"/>
      <c r="G40" s="2" t="s">
        <v>8603</v>
      </c>
      <c r="H40" s="2" t="s">
        <v>8647</v>
      </c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2"/>
      <c r="AA40" s="2"/>
      <c r="AB40" s="2"/>
      <c r="AC40" s="3"/>
      <c r="AD40" s="2"/>
      <c r="AE40" s="2"/>
      <c r="AF40" s="2"/>
      <c r="AG40" s="2"/>
      <c r="AH40" s="16" t="s">
        <v>8605</v>
      </c>
      <c r="AI40" s="2" t="s">
        <v>8604</v>
      </c>
      <c r="AJ40" s="2"/>
      <c r="AK40" s="2"/>
      <c r="AL40" s="2"/>
      <c r="AM40" s="2"/>
      <c r="AN40" s="2"/>
      <c r="AO40" s="2"/>
      <c r="AP40" s="5" t="s">
        <v>8204</v>
      </c>
      <c r="AQ40" s="5" t="s">
        <v>8768</v>
      </c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3:58" ht="17.25" customHeight="1">
      <c r="C41" s="1">
        <v>44047</v>
      </c>
      <c r="E41" s="2" t="s">
        <v>7802</v>
      </c>
      <c r="F41" s="15"/>
      <c r="G41" s="2" t="s">
        <v>8607</v>
      </c>
      <c r="H41" s="2" t="s">
        <v>8606</v>
      </c>
      <c r="I41" s="2"/>
      <c r="J41" s="2">
        <v>1</v>
      </c>
      <c r="K41" s="2"/>
      <c r="L41" s="3">
        <v>18.75</v>
      </c>
      <c r="M41" s="3">
        <v>1.87</v>
      </c>
      <c r="N41" s="3">
        <v>1.17</v>
      </c>
      <c r="O41" s="3">
        <v>1.1299999999999999</v>
      </c>
      <c r="P41" s="3">
        <f>1.13-1.13</f>
        <v>0</v>
      </c>
      <c r="Q41" s="6">
        <f t="shared" ref="Q41:Q42" si="91">+L41-M41-N41+P41</f>
        <v>15.709999999999999</v>
      </c>
      <c r="R41" s="3"/>
      <c r="S41" s="3">
        <v>10.99</v>
      </c>
      <c r="T41" s="3">
        <v>0.66</v>
      </c>
      <c r="U41" s="3">
        <v>0</v>
      </c>
      <c r="V41" s="3">
        <v>0</v>
      </c>
      <c r="W41" s="3">
        <v>0</v>
      </c>
      <c r="X41" s="2">
        <f t="shared" ref="X41:X42" si="92">+S41+T41++U41+V41-W41</f>
        <v>11.65</v>
      </c>
      <c r="Y41" s="6">
        <f t="shared" ref="Y41:Y42" si="93">+Q41-X41</f>
        <v>4.0599999999999987</v>
      </c>
      <c r="Z41" s="2"/>
      <c r="AA41" s="2"/>
      <c r="AB41" s="2"/>
      <c r="AC41" s="3"/>
      <c r="AD41" s="2"/>
      <c r="AE41" s="2"/>
      <c r="AF41" s="2"/>
      <c r="AG41" s="2"/>
      <c r="AH41" s="2" t="s">
        <v>8609</v>
      </c>
      <c r="AI41" s="2" t="s">
        <v>8608</v>
      </c>
      <c r="AJ41" s="2"/>
      <c r="AK41" s="2"/>
      <c r="AL41" s="2" t="s">
        <v>7826</v>
      </c>
      <c r="AM41" s="2" t="s">
        <v>8896</v>
      </c>
      <c r="AN41" s="2"/>
      <c r="AO41" s="2" t="s">
        <v>8793</v>
      </c>
      <c r="AP41" s="2" t="s">
        <v>7938</v>
      </c>
      <c r="AQ41" s="2" t="s">
        <v>8488</v>
      </c>
      <c r="AR41" s="16" t="s">
        <v>8877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3:58" ht="17.25" customHeight="1">
      <c r="C42" s="1">
        <v>44047</v>
      </c>
      <c r="E42" s="2" t="s">
        <v>8599</v>
      </c>
      <c r="F42" s="15"/>
      <c r="G42" s="2" t="s">
        <v>8611</v>
      </c>
      <c r="H42" s="2" t="s">
        <v>8610</v>
      </c>
      <c r="I42" s="2"/>
      <c r="J42" s="2">
        <v>1</v>
      </c>
      <c r="K42" s="2"/>
      <c r="L42" s="3">
        <v>42.15</v>
      </c>
      <c r="M42" s="3">
        <v>4.21</v>
      </c>
      <c r="N42" s="3">
        <v>2.27</v>
      </c>
      <c r="O42" s="3">
        <v>2.5299999999999998</v>
      </c>
      <c r="P42" s="3">
        <f>2.53-2.53</f>
        <v>0</v>
      </c>
      <c r="Q42" s="6">
        <f t="shared" si="91"/>
        <v>35.669999999999995</v>
      </c>
      <c r="R42" s="3"/>
      <c r="S42" s="3">
        <v>28.68</v>
      </c>
      <c r="T42" s="3">
        <v>1.72</v>
      </c>
      <c r="U42" s="3"/>
      <c r="V42" s="3"/>
      <c r="W42" s="3">
        <v>1.43</v>
      </c>
      <c r="X42" s="2">
        <f t="shared" si="92"/>
        <v>28.97</v>
      </c>
      <c r="Y42" s="6">
        <f t="shared" si="93"/>
        <v>6.6999999999999957</v>
      </c>
      <c r="Z42" s="2"/>
      <c r="AA42" s="2"/>
      <c r="AB42" s="2"/>
      <c r="AC42" s="3"/>
      <c r="AD42" s="2"/>
      <c r="AE42" s="2"/>
      <c r="AF42" s="2"/>
      <c r="AG42" s="2"/>
      <c r="AH42" s="2" t="s">
        <v>8613</v>
      </c>
      <c r="AI42" s="2" t="s">
        <v>8612</v>
      </c>
      <c r="AJ42" s="2"/>
      <c r="AK42" s="2"/>
      <c r="AL42" s="2"/>
      <c r="AM42" s="2"/>
      <c r="AN42" s="2"/>
      <c r="AO42" s="2" t="s">
        <v>8893</v>
      </c>
      <c r="AP42" s="2" t="s">
        <v>5412</v>
      </c>
      <c r="AQ42" s="2" t="s">
        <v>7926</v>
      </c>
      <c r="AR42" s="16" t="s">
        <v>8580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3:58" ht="17.25" customHeight="1">
      <c r="C43" s="1">
        <v>44047</v>
      </c>
      <c r="E43" s="2" t="s">
        <v>8600</v>
      </c>
      <c r="F43" s="15"/>
      <c r="G43" s="2" t="s">
        <v>8615</v>
      </c>
      <c r="H43" s="2" t="s">
        <v>8614</v>
      </c>
      <c r="I43" s="2"/>
      <c r="J43" s="2">
        <v>1</v>
      </c>
      <c r="K43" s="2"/>
      <c r="L43" s="3">
        <v>35.5</v>
      </c>
      <c r="M43" s="3">
        <v>3.55</v>
      </c>
      <c r="N43" s="3">
        <v>1.83</v>
      </c>
      <c r="O43" s="3">
        <v>3.02</v>
      </c>
      <c r="P43" s="3">
        <f>3.02-3.02</f>
        <v>0</v>
      </c>
      <c r="Q43" s="6">
        <f t="shared" ref="Q43:Q45" si="94">+L43-M43-N43+P43</f>
        <v>30.119999999999997</v>
      </c>
      <c r="R43" s="3"/>
      <c r="S43" s="3">
        <v>23.95</v>
      </c>
      <c r="T43" s="3">
        <v>1.92</v>
      </c>
      <c r="U43" s="3"/>
      <c r="V43" s="3"/>
      <c r="W43" s="3"/>
      <c r="X43" s="2">
        <f t="shared" ref="X43:X45" si="95">+S43+T43++U43+V43-W43</f>
        <v>25.869999999999997</v>
      </c>
      <c r="Y43" s="6">
        <f t="shared" ref="Y43:Y45" si="96">+Q43-X43</f>
        <v>4.25</v>
      </c>
      <c r="Z43" s="2"/>
      <c r="AA43" s="2"/>
      <c r="AB43" s="2"/>
      <c r="AC43" s="3"/>
      <c r="AD43" s="2"/>
      <c r="AE43" s="2"/>
      <c r="AF43" s="2"/>
      <c r="AG43" s="2"/>
      <c r="AH43" s="2" t="s">
        <v>8617</v>
      </c>
      <c r="AI43" s="2" t="s">
        <v>8616</v>
      </c>
      <c r="AJ43" s="2"/>
      <c r="AK43" s="2"/>
      <c r="AL43" s="2" t="s">
        <v>7873</v>
      </c>
      <c r="AM43" s="16" t="s">
        <v>8784</v>
      </c>
      <c r="AN43" s="2"/>
      <c r="AO43" s="2" t="s">
        <v>8727</v>
      </c>
      <c r="AP43" s="2" t="s">
        <v>8543</v>
      </c>
      <c r="AQ43" s="45" t="s">
        <v>8600</v>
      </c>
      <c r="AR43" s="16" t="s">
        <v>8714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3:58" ht="17.25" customHeight="1">
      <c r="C44" s="1">
        <v>44047</v>
      </c>
      <c r="E44" s="2" t="s">
        <v>8626</v>
      </c>
      <c r="F44" s="15"/>
      <c r="G44" s="2" t="s">
        <v>8615</v>
      </c>
      <c r="H44" s="2" t="s">
        <v>8614</v>
      </c>
      <c r="I44" s="2"/>
      <c r="J44" s="2">
        <v>1</v>
      </c>
      <c r="K44" s="2"/>
      <c r="L44" s="3">
        <v>36.5</v>
      </c>
      <c r="M44" s="3">
        <v>3.65</v>
      </c>
      <c r="N44" s="3">
        <v>1.89</v>
      </c>
      <c r="O44" s="3">
        <v>2.84</v>
      </c>
      <c r="P44" s="3">
        <f>2.84-2.84</f>
        <v>0</v>
      </c>
      <c r="Q44" s="6">
        <f t="shared" si="94"/>
        <v>30.96</v>
      </c>
      <c r="R44" s="3"/>
      <c r="S44" s="3">
        <v>22.95</v>
      </c>
      <c r="T44" s="3">
        <v>1.79</v>
      </c>
      <c r="U44" s="3"/>
      <c r="V44" s="3"/>
      <c r="W44" s="3">
        <v>1.1499999999999999</v>
      </c>
      <c r="X44" s="2">
        <f t="shared" si="95"/>
        <v>23.59</v>
      </c>
      <c r="Y44" s="6">
        <f t="shared" si="96"/>
        <v>7.370000000000001</v>
      </c>
      <c r="Z44" s="2"/>
      <c r="AA44" s="2"/>
      <c r="AB44" s="2"/>
      <c r="AC44" s="3"/>
      <c r="AD44" s="2"/>
      <c r="AE44" s="2"/>
      <c r="AF44" s="2"/>
      <c r="AG44" s="2"/>
      <c r="AH44" s="2" t="s">
        <v>8617</v>
      </c>
      <c r="AI44" s="2" t="s">
        <v>8616</v>
      </c>
      <c r="AJ44" s="2"/>
      <c r="AK44" s="2"/>
      <c r="AL44" s="2"/>
      <c r="AM44" s="2"/>
      <c r="AN44" s="2"/>
      <c r="AO44" s="2" t="s">
        <v>8820</v>
      </c>
      <c r="AP44" s="2" t="s">
        <v>5412</v>
      </c>
      <c r="AQ44" s="45" t="s">
        <v>8723</v>
      </c>
      <c r="AR44" s="16" t="s">
        <v>8150</v>
      </c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3:58" ht="17.25" customHeight="1">
      <c r="C45" s="1">
        <v>44047</v>
      </c>
      <c r="E45" s="2" t="s">
        <v>61</v>
      </c>
      <c r="F45" s="15"/>
      <c r="G45" s="2" t="s">
        <v>8623</v>
      </c>
      <c r="H45" s="2" t="s">
        <v>8622</v>
      </c>
      <c r="I45" s="2"/>
      <c r="J45" s="2">
        <v>1</v>
      </c>
      <c r="K45" s="2"/>
      <c r="L45" s="3">
        <v>47.35</v>
      </c>
      <c r="M45" s="3">
        <v>4.7300000000000004</v>
      </c>
      <c r="N45" s="3">
        <v>2.56</v>
      </c>
      <c r="O45" s="3">
        <v>3.91</v>
      </c>
      <c r="P45" s="3">
        <f>3.91-3.91</f>
        <v>0</v>
      </c>
      <c r="Q45" s="6">
        <f t="shared" si="94"/>
        <v>40.06</v>
      </c>
      <c r="R45" s="3"/>
      <c r="S45" s="3">
        <v>25.98</v>
      </c>
      <c r="T45" s="3">
        <v>2.56</v>
      </c>
      <c r="U45" s="3">
        <v>5</v>
      </c>
      <c r="V45" s="3"/>
      <c r="W45" s="3"/>
      <c r="X45" s="2">
        <f t="shared" si="95"/>
        <v>33.54</v>
      </c>
      <c r="Y45" s="6">
        <f t="shared" si="96"/>
        <v>6.5200000000000031</v>
      </c>
      <c r="Z45" s="2"/>
      <c r="AA45" s="2"/>
      <c r="AB45" s="2"/>
      <c r="AC45" s="3"/>
      <c r="AD45" s="2"/>
      <c r="AE45" s="2"/>
      <c r="AF45" s="2"/>
      <c r="AG45" s="2"/>
      <c r="AH45" s="2" t="s">
        <v>8625</v>
      </c>
      <c r="AI45" s="2" t="s">
        <v>8624</v>
      </c>
      <c r="AJ45" s="2"/>
      <c r="AK45" s="2"/>
      <c r="AL45" s="2"/>
      <c r="AM45" s="2"/>
      <c r="AN45" s="2"/>
      <c r="AO45" s="2" t="s">
        <v>8889</v>
      </c>
      <c r="AP45" s="2" t="s">
        <v>8081</v>
      </c>
      <c r="AQ45" s="2" t="s">
        <v>8100</v>
      </c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3:58" ht="17.25" customHeight="1">
      <c r="C46" s="1">
        <v>44047</v>
      </c>
      <c r="E46" s="2" t="s">
        <v>8181</v>
      </c>
      <c r="F46" s="15"/>
      <c r="G46" s="2" t="s">
        <v>8619</v>
      </c>
      <c r="H46" s="2" t="s">
        <v>8618</v>
      </c>
      <c r="I46" s="2"/>
      <c r="J46" s="2">
        <v>1</v>
      </c>
      <c r="K46" s="2"/>
      <c r="L46" s="3">
        <v>13.95</v>
      </c>
      <c r="M46" s="3">
        <v>1.39</v>
      </c>
      <c r="N46" s="3">
        <v>0.96</v>
      </c>
      <c r="O46" s="3">
        <v>0.98</v>
      </c>
      <c r="P46" s="3">
        <f>0.98-0.98</f>
        <v>0</v>
      </c>
      <c r="Q46" s="6">
        <f t="shared" ref="Q46" si="97">+L46-M46-N46+P46</f>
        <v>11.599999999999998</v>
      </c>
      <c r="R46" s="3"/>
      <c r="S46" s="3">
        <v>7.35</v>
      </c>
      <c r="T46" s="3">
        <v>0.51</v>
      </c>
      <c r="U46" s="3"/>
      <c r="V46" s="3"/>
      <c r="W46" s="3">
        <v>0.37</v>
      </c>
      <c r="X46" s="2">
        <f t="shared" ref="X46" si="98">+S46+T46++U46+V46-W46</f>
        <v>7.4899999999999993</v>
      </c>
      <c r="Y46" s="6">
        <f t="shared" ref="Y46" si="99">+Q46-X46</f>
        <v>4.1099999999999985</v>
      </c>
      <c r="Z46" s="2">
        <f>SUM(Y40:Y46)</f>
        <v>33.01</v>
      </c>
      <c r="AA46" s="2">
        <f>SUM(J40:J46)</f>
        <v>6</v>
      </c>
      <c r="AB46" s="2"/>
      <c r="AC46" s="3"/>
      <c r="AD46" s="2"/>
      <c r="AE46" s="2"/>
      <c r="AF46" s="2"/>
      <c r="AG46" s="2"/>
      <c r="AH46" s="2" t="s">
        <v>8621</v>
      </c>
      <c r="AI46" s="2" t="s">
        <v>8620</v>
      </c>
      <c r="AJ46" s="2"/>
      <c r="AK46" s="2"/>
      <c r="AL46" s="2" t="s">
        <v>7873</v>
      </c>
      <c r="AM46" s="22" t="s">
        <v>8882</v>
      </c>
      <c r="AN46" s="2"/>
      <c r="AO46" s="2" t="s">
        <v>8819</v>
      </c>
      <c r="AP46" s="2" t="s">
        <v>5412</v>
      </c>
      <c r="AQ46" s="2" t="s">
        <v>8181</v>
      </c>
      <c r="AR46" s="19" t="s">
        <v>8476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3:58" ht="17.25" customHeight="1">
      <c r="C47" s="1">
        <v>44046</v>
      </c>
      <c r="E47" s="2" t="s">
        <v>8571</v>
      </c>
      <c r="F47" s="15"/>
      <c r="G47" s="2" t="s">
        <v>8573</v>
      </c>
      <c r="H47" s="2" t="s">
        <v>8572</v>
      </c>
      <c r="I47" s="2"/>
      <c r="J47" s="2">
        <v>1</v>
      </c>
      <c r="K47" s="2"/>
      <c r="L47" s="3">
        <v>10.95</v>
      </c>
      <c r="M47" s="3">
        <v>1.0900000000000001</v>
      </c>
      <c r="N47" s="3">
        <v>0.82</v>
      </c>
      <c r="O47" s="3">
        <v>0</v>
      </c>
      <c r="P47" s="3">
        <v>0.77</v>
      </c>
      <c r="Q47" s="6">
        <f t="shared" ref="Q47:Q48" si="100">+L47-M47-N47+P47</f>
        <v>9.8099999999999987</v>
      </c>
      <c r="R47" s="3"/>
      <c r="S47" s="3">
        <v>6.99</v>
      </c>
      <c r="T47" s="3">
        <v>0.56000000000000005</v>
      </c>
      <c r="U47" s="3"/>
      <c r="V47" s="3"/>
      <c r="W47" s="3">
        <v>0.35</v>
      </c>
      <c r="X47" s="2">
        <f t="shared" ref="X47" si="101">+S47+T47++U47+V47-W47</f>
        <v>7.2000000000000011</v>
      </c>
      <c r="Y47" s="6">
        <f t="shared" ref="Y47" si="102">+Q47-X47</f>
        <v>2.6099999999999977</v>
      </c>
      <c r="Z47" s="2"/>
      <c r="AA47" s="2"/>
      <c r="AB47" s="2"/>
      <c r="AC47" s="3"/>
      <c r="AD47" s="2"/>
      <c r="AE47" s="2"/>
      <c r="AF47" s="2"/>
      <c r="AG47" s="2"/>
      <c r="AH47" s="2" t="s">
        <v>8575</v>
      </c>
      <c r="AI47" s="2" t="s">
        <v>8574</v>
      </c>
      <c r="AJ47" s="2"/>
      <c r="AK47" s="2"/>
      <c r="AL47" s="2"/>
      <c r="AM47" s="2"/>
      <c r="AN47" s="2"/>
      <c r="AO47" s="2"/>
      <c r="AP47" s="5" t="s">
        <v>8891</v>
      </c>
      <c r="AQ47" s="2" t="s">
        <v>8576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3:58" ht="17.25" customHeight="1">
      <c r="C48" s="1">
        <v>44046</v>
      </c>
      <c r="E48" s="2" t="s">
        <v>7672</v>
      </c>
      <c r="F48" s="15"/>
      <c r="G48" s="2" t="s">
        <v>8568</v>
      </c>
      <c r="H48" s="2" t="s">
        <v>8567</v>
      </c>
      <c r="I48" s="2"/>
      <c r="J48" s="2">
        <v>1</v>
      </c>
      <c r="K48" s="2"/>
      <c r="L48" s="3">
        <v>35.5</v>
      </c>
      <c r="M48" s="3">
        <v>3.55</v>
      </c>
      <c r="N48" s="3">
        <v>2.02</v>
      </c>
      <c r="O48" s="3">
        <v>3.64</v>
      </c>
      <c r="P48" s="3">
        <f>3.64-3.64</f>
        <v>0</v>
      </c>
      <c r="Q48" s="6">
        <f t="shared" si="100"/>
        <v>29.93</v>
      </c>
      <c r="R48" s="3"/>
      <c r="S48" s="3">
        <v>17.98</v>
      </c>
      <c r="T48" s="3">
        <v>1.84</v>
      </c>
      <c r="U48" s="3"/>
      <c r="V48" s="3"/>
      <c r="W48" s="3">
        <v>0.9</v>
      </c>
      <c r="X48" s="2">
        <f t="shared" ref="X48" si="103">+S48+T48++U48+V48-W48</f>
        <v>18.920000000000002</v>
      </c>
      <c r="Y48" s="6">
        <f t="shared" ref="Y48" si="104">+Q48-X48</f>
        <v>11.009999999999998</v>
      </c>
      <c r="Z48" s="2"/>
      <c r="AA48" s="2"/>
      <c r="AB48" s="2"/>
      <c r="AC48" s="3"/>
      <c r="AD48" s="2"/>
      <c r="AE48" s="2"/>
      <c r="AF48" s="2"/>
      <c r="AG48" s="2"/>
      <c r="AH48" s="2" t="s">
        <v>8570</v>
      </c>
      <c r="AI48" s="2" t="s">
        <v>8569</v>
      </c>
      <c r="AJ48" s="2"/>
      <c r="AK48" s="2"/>
      <c r="AL48" s="2" t="s">
        <v>7826</v>
      </c>
      <c r="AM48" s="2" t="s">
        <v>8750</v>
      </c>
      <c r="AN48" s="2"/>
      <c r="AO48" s="2" t="s">
        <v>8712</v>
      </c>
      <c r="AP48" s="2" t="s">
        <v>5412</v>
      </c>
      <c r="AQ48" s="2" t="s">
        <v>7934</v>
      </c>
      <c r="AR48" s="16" t="s">
        <v>8739</v>
      </c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3:58" ht="17.25" customHeight="1">
      <c r="C49" s="1">
        <v>44046</v>
      </c>
      <c r="E49" s="2" t="s">
        <v>8562</v>
      </c>
      <c r="F49" s="15"/>
      <c r="G49" s="2" t="s">
        <v>8564</v>
      </c>
      <c r="H49" s="2" t="s">
        <v>8563</v>
      </c>
      <c r="I49" s="2"/>
      <c r="J49" s="2">
        <v>1</v>
      </c>
      <c r="K49" s="2"/>
      <c r="L49" s="3">
        <v>29.5</v>
      </c>
      <c r="M49" s="3">
        <v>2.95</v>
      </c>
      <c r="N49" s="3">
        <v>1.69</v>
      </c>
      <c r="O49" s="3"/>
      <c r="P49" s="3">
        <v>2.0699999999999998</v>
      </c>
      <c r="Q49" s="6">
        <f t="shared" ref="Q49:Q50" si="105">+L49-M49-N49+P49</f>
        <v>26.93</v>
      </c>
      <c r="R49" s="3"/>
      <c r="S49" s="3">
        <v>18.989999999999998</v>
      </c>
      <c r="T49" s="3">
        <v>0</v>
      </c>
      <c r="U49" s="3"/>
      <c r="V49" s="3"/>
      <c r="W49" s="3">
        <v>0.95</v>
      </c>
      <c r="X49" s="2">
        <f t="shared" ref="X49" si="106">+S49+T49++U49+V49-W49</f>
        <v>18.04</v>
      </c>
      <c r="Y49" s="6">
        <f t="shared" ref="Y49" si="107">+Q49-X49</f>
        <v>8.89</v>
      </c>
      <c r="Z49" s="2"/>
      <c r="AA49" s="2"/>
      <c r="AB49" s="2"/>
      <c r="AC49" s="3"/>
      <c r="AD49" s="2"/>
      <c r="AE49" s="2"/>
      <c r="AF49" s="2"/>
      <c r="AG49" s="2"/>
      <c r="AH49" s="2" t="s">
        <v>8566</v>
      </c>
      <c r="AI49" s="2" t="s">
        <v>8565</v>
      </c>
      <c r="AJ49" s="2"/>
      <c r="AK49" s="2"/>
      <c r="AL49" s="2" t="s">
        <v>7826</v>
      </c>
      <c r="AM49" s="2" t="s">
        <v>8880</v>
      </c>
      <c r="AN49" s="2"/>
      <c r="AO49" s="2" t="s">
        <v>8817</v>
      </c>
      <c r="AP49" s="2" t="s">
        <v>8818</v>
      </c>
      <c r="AQ49" s="2" t="s">
        <v>8562</v>
      </c>
      <c r="AR49" s="16" t="s">
        <v>8476</v>
      </c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3:58" ht="17.25" customHeight="1">
      <c r="C50" s="1">
        <v>44046</v>
      </c>
      <c r="E50" s="2" t="s">
        <v>8560</v>
      </c>
      <c r="F50" s="15"/>
      <c r="G50" s="2" t="s">
        <v>8316</v>
      </c>
      <c r="H50" s="2" t="s">
        <v>8314</v>
      </c>
      <c r="I50" s="2"/>
      <c r="J50" s="2">
        <v>1</v>
      </c>
      <c r="K50" s="2"/>
      <c r="L50" s="3">
        <v>72.5</v>
      </c>
      <c r="M50" s="3">
        <v>7.25</v>
      </c>
      <c r="N50" s="3">
        <v>3.69</v>
      </c>
      <c r="O50" s="3">
        <v>4.53</v>
      </c>
      <c r="P50" s="3">
        <f>4.53-4.53</f>
        <v>0</v>
      </c>
      <c r="Q50" s="6">
        <f t="shared" si="105"/>
        <v>61.56</v>
      </c>
      <c r="R50" s="3"/>
      <c r="S50" s="3">
        <v>46.99</v>
      </c>
      <c r="T50" s="3"/>
      <c r="U50" s="3">
        <v>4.99</v>
      </c>
      <c r="V50" s="3"/>
      <c r="W50" s="3">
        <v>4.6900000000000004</v>
      </c>
      <c r="X50" s="2">
        <f t="shared" ref="X50" si="108">+S50+T50++U50+V50-W50</f>
        <v>47.290000000000006</v>
      </c>
      <c r="Y50" s="6">
        <f t="shared" ref="Y50" si="109">+Q50-X50</f>
        <v>14.269999999999996</v>
      </c>
      <c r="Z50" s="2"/>
      <c r="AA50" s="2"/>
      <c r="AB50" s="2"/>
      <c r="AC50" s="3"/>
      <c r="AD50" s="2"/>
      <c r="AE50" s="2"/>
      <c r="AF50" s="2"/>
      <c r="AG50" s="2"/>
      <c r="AH50" s="2" t="s">
        <v>8318</v>
      </c>
      <c r="AI50" s="2" t="s">
        <v>8317</v>
      </c>
      <c r="AJ50" s="2"/>
      <c r="AK50" s="2"/>
      <c r="AL50" s="2"/>
      <c r="AM50" s="2"/>
      <c r="AN50" s="2"/>
      <c r="AO50" s="2"/>
      <c r="AP50" s="2" t="s">
        <v>7954</v>
      </c>
      <c r="AQ50" s="2" t="s">
        <v>8561</v>
      </c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3:58" ht="17.25" customHeight="1">
      <c r="C51" s="1">
        <v>44046</v>
      </c>
      <c r="E51" s="2" t="s">
        <v>8161</v>
      </c>
      <c r="F51" s="15"/>
      <c r="G51" s="2" t="s">
        <v>8557</v>
      </c>
      <c r="H51" s="2" t="s">
        <v>8556</v>
      </c>
      <c r="I51" s="2"/>
      <c r="J51" s="2">
        <v>1</v>
      </c>
      <c r="K51" s="2"/>
      <c r="L51" s="3">
        <v>19.5</v>
      </c>
      <c r="M51" s="3">
        <v>1.95</v>
      </c>
      <c r="N51" s="3">
        <v>1.21</v>
      </c>
      <c r="O51" s="3">
        <v>1.22</v>
      </c>
      <c r="P51" s="3">
        <f>1.22-1.22</f>
        <v>0</v>
      </c>
      <c r="Q51" s="6">
        <f t="shared" ref="Q51" si="110">+L51-M51-N51+P51</f>
        <v>16.34</v>
      </c>
      <c r="R51" s="3"/>
      <c r="S51" s="3">
        <v>8.99</v>
      </c>
      <c r="T51" s="3">
        <v>0.56000000000000005</v>
      </c>
      <c r="U51" s="3"/>
      <c r="V51" s="3"/>
      <c r="W51" s="3">
        <v>0.45</v>
      </c>
      <c r="X51" s="2">
        <f t="shared" ref="X51" si="111">+S51+T51++U51+V51-W51</f>
        <v>9.1000000000000014</v>
      </c>
      <c r="Y51" s="6">
        <f t="shared" ref="Y51" si="112">+Q51-X51</f>
        <v>7.2399999999999984</v>
      </c>
      <c r="Z51" s="2"/>
      <c r="AA51" s="2"/>
      <c r="AB51" s="2"/>
      <c r="AC51" s="3"/>
      <c r="AD51" s="2"/>
      <c r="AE51" s="2"/>
      <c r="AF51" s="2"/>
      <c r="AG51" s="2"/>
      <c r="AH51" s="2" t="s">
        <v>8559</v>
      </c>
      <c r="AI51" s="2" t="s">
        <v>8558</v>
      </c>
      <c r="AJ51" s="2"/>
      <c r="AK51" s="2"/>
      <c r="AL51" s="2" t="s">
        <v>7873</v>
      </c>
      <c r="AM51" s="16" t="s">
        <v>8876</v>
      </c>
      <c r="AN51" s="2"/>
      <c r="AO51" s="2" t="s">
        <v>8815</v>
      </c>
      <c r="AP51" s="2" t="s">
        <v>5412</v>
      </c>
      <c r="AQ51" s="2" t="s">
        <v>8161</v>
      </c>
      <c r="AR51" s="16" t="s">
        <v>8677</v>
      </c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3:58" ht="17.25" customHeight="1">
      <c r="C52" s="1">
        <v>44046</v>
      </c>
      <c r="E52" s="2" t="s">
        <v>8545</v>
      </c>
      <c r="F52" s="15"/>
      <c r="G52" s="2" t="s">
        <v>8547</v>
      </c>
      <c r="H52" s="2" t="s">
        <v>8546</v>
      </c>
      <c r="I52" s="2"/>
      <c r="J52" s="2">
        <v>1</v>
      </c>
      <c r="K52" s="2"/>
      <c r="L52" s="3">
        <v>83.5</v>
      </c>
      <c r="M52" s="3">
        <v>8.35</v>
      </c>
      <c r="N52" s="3">
        <v>4.25</v>
      </c>
      <c r="O52" s="3">
        <v>6.26</v>
      </c>
      <c r="P52" s="3">
        <f>6.26-6.26</f>
        <v>0</v>
      </c>
      <c r="Q52" s="6">
        <f t="shared" ref="Q52" si="113">+L52-M52-N52+P52</f>
        <v>70.900000000000006</v>
      </c>
      <c r="R52" s="3"/>
      <c r="S52" s="3">
        <v>65.19</v>
      </c>
      <c r="T52" s="3">
        <v>4.8899999999999997</v>
      </c>
      <c r="U52" s="3"/>
      <c r="V52" s="3"/>
      <c r="W52" s="3">
        <v>6.51</v>
      </c>
      <c r="X52" s="2">
        <f t="shared" ref="X52" si="114">+S52+T52++U52+V52-W52</f>
        <v>63.57</v>
      </c>
      <c r="Y52" s="6">
        <f t="shared" ref="Y52" si="115">+Q52-X52</f>
        <v>7.3300000000000054</v>
      </c>
      <c r="Z52" s="2"/>
      <c r="AA52" s="2"/>
      <c r="AB52" s="2"/>
      <c r="AC52" s="3"/>
      <c r="AD52" s="2"/>
      <c r="AE52" s="2"/>
      <c r="AF52" s="2"/>
      <c r="AG52" s="2"/>
      <c r="AH52" s="2" t="s">
        <v>8549</v>
      </c>
      <c r="AI52" s="2" t="s">
        <v>8548</v>
      </c>
      <c r="AJ52" s="2"/>
      <c r="AK52" s="2"/>
      <c r="AL52" s="2"/>
      <c r="AM52" s="2"/>
      <c r="AN52" s="2"/>
      <c r="AO52" s="2"/>
      <c r="AP52" s="2" t="s">
        <v>8550</v>
      </c>
      <c r="AQ52" s="2" t="s">
        <v>8551</v>
      </c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3:58" ht="17.25" customHeight="1">
      <c r="C53" s="1">
        <v>44046</v>
      </c>
      <c r="E53" s="2" t="s">
        <v>7802</v>
      </c>
      <c r="F53" s="15"/>
      <c r="G53" s="2" t="s">
        <v>8553</v>
      </c>
      <c r="H53" s="2" t="s">
        <v>8552</v>
      </c>
      <c r="I53" s="2"/>
      <c r="J53" s="2">
        <v>1</v>
      </c>
      <c r="K53" s="2"/>
      <c r="L53" s="3">
        <v>18.75</v>
      </c>
      <c r="M53" s="3">
        <v>1.87</v>
      </c>
      <c r="N53" s="3">
        <v>1.18</v>
      </c>
      <c r="O53" s="3">
        <v>1.18</v>
      </c>
      <c r="P53" s="3">
        <f>1.18-1.18</f>
        <v>0</v>
      </c>
      <c r="Q53" s="6">
        <f t="shared" ref="Q53" si="116">+L53-M53-N53+P53</f>
        <v>15.7</v>
      </c>
      <c r="R53" s="3"/>
      <c r="S53" s="3">
        <v>10.99</v>
      </c>
      <c r="T53" s="3">
        <v>0.69</v>
      </c>
      <c r="U53" s="3">
        <v>0</v>
      </c>
      <c r="V53" s="3">
        <v>0</v>
      </c>
      <c r="W53" s="3">
        <v>0</v>
      </c>
      <c r="X53" s="2">
        <f t="shared" ref="X53" si="117">+S53+T53++U53+V53-W53</f>
        <v>11.68</v>
      </c>
      <c r="Y53" s="6">
        <f t="shared" ref="Y53" si="118">+Q53-X53</f>
        <v>4.0199999999999996</v>
      </c>
      <c r="Z53" s="2"/>
      <c r="AA53" s="2"/>
      <c r="AB53" s="2"/>
      <c r="AC53" s="3"/>
      <c r="AD53" s="2"/>
      <c r="AE53" s="2"/>
      <c r="AF53" s="2"/>
      <c r="AG53" s="2"/>
      <c r="AH53" s="2" t="s">
        <v>8555</v>
      </c>
      <c r="AI53" s="2" t="s">
        <v>8554</v>
      </c>
      <c r="AJ53" s="2"/>
      <c r="AK53" s="2"/>
      <c r="AL53" s="2" t="s">
        <v>7826</v>
      </c>
      <c r="AM53" s="2" t="s">
        <v>8869</v>
      </c>
      <c r="AN53" s="2"/>
      <c r="AO53" s="2" t="s">
        <v>8792</v>
      </c>
      <c r="AP53" s="2" t="s">
        <v>7938</v>
      </c>
      <c r="AQ53" s="2" t="s">
        <v>8488</v>
      </c>
      <c r="AR53" s="16" t="s">
        <v>8790</v>
      </c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3:58" ht="17.25" customHeight="1">
      <c r="C54" s="1">
        <v>44046</v>
      </c>
      <c r="E54" s="2" t="s">
        <v>8523</v>
      </c>
      <c r="F54" s="15"/>
      <c r="G54" s="2" t="s">
        <v>8525</v>
      </c>
      <c r="H54" s="2" t="s">
        <v>8524</v>
      </c>
      <c r="I54" s="2"/>
      <c r="J54" s="2">
        <v>1</v>
      </c>
      <c r="K54" s="2"/>
      <c r="L54" s="3">
        <v>30.75</v>
      </c>
      <c r="M54" s="3">
        <v>3.07</v>
      </c>
      <c r="N54" s="3">
        <v>1.73</v>
      </c>
      <c r="O54" s="3">
        <v>1.85</v>
      </c>
      <c r="P54" s="3">
        <f>1.85-1.85</f>
        <v>0</v>
      </c>
      <c r="Q54" s="6">
        <f t="shared" ref="Q54:Q56" si="119">+L54-M54-N54+P54</f>
        <v>25.95</v>
      </c>
      <c r="R54" s="3"/>
      <c r="S54" s="3">
        <v>12.99</v>
      </c>
      <c r="T54" s="3">
        <v>0.78</v>
      </c>
      <c r="U54" s="3"/>
      <c r="V54" s="3"/>
      <c r="W54" s="3"/>
      <c r="X54" s="2">
        <f t="shared" ref="X54:X55" si="120">+S54+T54++U54+V54-W54</f>
        <v>13.77</v>
      </c>
      <c r="Y54" s="6">
        <f t="shared" ref="Y54:Y55" si="121">+Q54-X54</f>
        <v>12.18</v>
      </c>
      <c r="Z54" s="2"/>
      <c r="AA54" s="2"/>
      <c r="AB54" s="2"/>
      <c r="AC54" s="3"/>
      <c r="AD54" s="2"/>
      <c r="AE54" s="2"/>
      <c r="AF54" s="2"/>
      <c r="AG54" s="2"/>
      <c r="AH54" s="2" t="s">
        <v>8527</v>
      </c>
      <c r="AI54" s="2" t="s">
        <v>8526</v>
      </c>
      <c r="AJ54" s="2"/>
      <c r="AK54" s="2"/>
      <c r="AL54" s="2" t="s">
        <v>7876</v>
      </c>
      <c r="AM54" s="16" t="s">
        <v>8630</v>
      </c>
      <c r="AN54" s="2"/>
      <c r="AO54" s="2" t="s">
        <v>8537</v>
      </c>
      <c r="AP54" s="2" t="s">
        <v>8528</v>
      </c>
      <c r="AQ54" s="2" t="s">
        <v>8529</v>
      </c>
      <c r="AR54" s="16" t="s">
        <v>8530</v>
      </c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3:58" ht="17.25" customHeight="1">
      <c r="C55" s="1">
        <v>44046</v>
      </c>
      <c r="E55" s="2" t="s">
        <v>8533</v>
      </c>
      <c r="F55" s="15"/>
      <c r="G55" s="2" t="s">
        <v>8532</v>
      </c>
      <c r="H55" s="2" t="s">
        <v>8531</v>
      </c>
      <c r="I55" s="2"/>
      <c r="J55" s="2">
        <v>1</v>
      </c>
      <c r="K55" s="2"/>
      <c r="L55" s="3">
        <v>54.5</v>
      </c>
      <c r="M55" s="3">
        <v>5.45</v>
      </c>
      <c r="N55" s="3">
        <v>2.87</v>
      </c>
      <c r="O55" s="3">
        <v>3.82</v>
      </c>
      <c r="P55" s="3">
        <f>3.82-3.82</f>
        <v>0</v>
      </c>
      <c r="Q55" s="6">
        <f t="shared" si="119"/>
        <v>46.18</v>
      </c>
      <c r="R55" s="3"/>
      <c r="S55" s="3">
        <v>16.899999999999999</v>
      </c>
      <c r="T55" s="3">
        <v>1.18</v>
      </c>
      <c r="U55" s="3"/>
      <c r="V55" s="3"/>
      <c r="W55" s="3">
        <v>0.85</v>
      </c>
      <c r="X55" s="2">
        <f t="shared" si="120"/>
        <v>17.229999999999997</v>
      </c>
      <c r="Y55" s="6">
        <f t="shared" si="121"/>
        <v>28.950000000000003</v>
      </c>
      <c r="Z55" s="2"/>
      <c r="AA55" s="2"/>
      <c r="AB55" s="2"/>
      <c r="AC55" s="3"/>
      <c r="AD55" s="2"/>
      <c r="AE55" s="2"/>
      <c r="AF55" s="2"/>
      <c r="AG55" s="2"/>
      <c r="AH55" s="2" t="s">
        <v>8535</v>
      </c>
      <c r="AI55" s="2" t="s">
        <v>8534</v>
      </c>
      <c r="AJ55" s="2"/>
      <c r="AK55" s="2"/>
      <c r="AL55" s="2" t="s">
        <v>7826</v>
      </c>
      <c r="AM55" s="2" t="s">
        <v>8731</v>
      </c>
      <c r="AN55" s="2"/>
      <c r="AO55" s="2" t="s">
        <v>8588</v>
      </c>
      <c r="AP55" s="2" t="s">
        <v>5412</v>
      </c>
      <c r="AQ55" s="2" t="s">
        <v>8536</v>
      </c>
      <c r="AR55" s="16" t="s">
        <v>8743</v>
      </c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3:58" ht="17.25" customHeight="1">
      <c r="C56" s="1">
        <v>44046</v>
      </c>
      <c r="E56" s="2" t="s">
        <v>8517</v>
      </c>
      <c r="F56" s="15"/>
      <c r="G56" s="2" t="s">
        <v>8518</v>
      </c>
      <c r="H56" s="2" t="s">
        <v>8516</v>
      </c>
      <c r="I56" s="2"/>
      <c r="J56" s="2">
        <v>1</v>
      </c>
      <c r="K56" s="2"/>
      <c r="L56" s="3">
        <v>39.5</v>
      </c>
      <c r="M56" s="3">
        <v>3.95</v>
      </c>
      <c r="N56" s="3">
        <v>2.17</v>
      </c>
      <c r="O56" s="3">
        <v>3.06</v>
      </c>
      <c r="P56" s="3">
        <f>3.06-3.06</f>
        <v>0</v>
      </c>
      <c r="Q56" s="6">
        <f t="shared" si="119"/>
        <v>33.379999999999995</v>
      </c>
      <c r="R56" s="3"/>
      <c r="S56" s="3">
        <v>21.78</v>
      </c>
      <c r="T56" s="3">
        <v>1.91</v>
      </c>
      <c r="U56" s="3">
        <v>5</v>
      </c>
      <c r="V56" s="3"/>
      <c r="W56" s="3"/>
      <c r="X56" s="2">
        <f t="shared" ref="X56" si="122">+S56+T56++U56+V56-W56</f>
        <v>28.69</v>
      </c>
      <c r="Y56" s="6">
        <f t="shared" ref="Y56" si="123">+Q56-X56</f>
        <v>4.6899999999999942</v>
      </c>
      <c r="Z56" s="6">
        <f>SUM(Y47:Y56)</f>
        <v>101.19000000000001</v>
      </c>
      <c r="AA56" s="2">
        <f>SUM(J47:J56)</f>
        <v>10</v>
      </c>
      <c r="AB56" s="2"/>
      <c r="AC56" s="3"/>
      <c r="AD56" s="2"/>
      <c r="AE56" s="2"/>
      <c r="AF56" s="2"/>
      <c r="AG56" s="2"/>
      <c r="AH56" s="2" t="s">
        <v>8520</v>
      </c>
      <c r="AI56" s="2" t="s">
        <v>8519</v>
      </c>
      <c r="AJ56" s="2"/>
      <c r="AK56" s="2"/>
      <c r="AL56" s="2" t="s">
        <v>7833</v>
      </c>
      <c r="AM56" s="2" t="s">
        <v>8786</v>
      </c>
      <c r="AN56" s="2"/>
      <c r="AO56" s="2" t="s">
        <v>8762</v>
      </c>
      <c r="AP56" s="2" t="s">
        <v>8081</v>
      </c>
      <c r="AQ56" s="2" t="s">
        <v>8521</v>
      </c>
      <c r="AR56" s="16" t="s">
        <v>8150</v>
      </c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3:58" ht="17.25" customHeight="1">
      <c r="C57" s="1">
        <v>44045</v>
      </c>
      <c r="E57" s="2" t="s">
        <v>8494</v>
      </c>
      <c r="F57" s="15"/>
      <c r="G57" s="2" t="s">
        <v>8495</v>
      </c>
      <c r="H57" s="2" t="s">
        <v>8493</v>
      </c>
      <c r="I57" s="2"/>
      <c r="J57" s="2">
        <v>1</v>
      </c>
      <c r="K57" s="2"/>
      <c r="L57" s="3">
        <v>58.5</v>
      </c>
      <c r="M57" s="3">
        <v>5.85</v>
      </c>
      <c r="N57" s="3">
        <v>3.07</v>
      </c>
      <c r="O57" s="3">
        <v>4.53</v>
      </c>
      <c r="P57" s="3">
        <f>4.53-4.53</f>
        <v>0</v>
      </c>
      <c r="Q57" s="6">
        <f t="shared" ref="Q57:Q60" si="124">+L57-M57-N57+P57</f>
        <v>49.58</v>
      </c>
      <c r="R57" s="3"/>
      <c r="S57" s="3">
        <v>38.99</v>
      </c>
      <c r="T57" s="3">
        <v>3.02</v>
      </c>
      <c r="U57" s="3"/>
      <c r="V57" s="3"/>
      <c r="W57" s="3"/>
      <c r="X57" s="2">
        <f t="shared" ref="X57" si="125">+S57+T57++U57+V57-W57</f>
        <v>42.010000000000005</v>
      </c>
      <c r="Y57" s="6">
        <f t="shared" ref="Y57" si="126">+Q57-X57</f>
        <v>7.5699999999999932</v>
      </c>
      <c r="Z57" s="2"/>
      <c r="AA57" s="2"/>
      <c r="AB57" s="2"/>
      <c r="AC57" s="3"/>
      <c r="AD57" s="2"/>
      <c r="AE57" s="2"/>
      <c r="AF57" s="2"/>
      <c r="AG57" s="2"/>
      <c r="AH57" s="2" t="s">
        <v>8497</v>
      </c>
      <c r="AI57" s="2" t="s">
        <v>8496</v>
      </c>
      <c r="AJ57" s="2"/>
      <c r="AK57" s="2"/>
      <c r="AL57" s="2" t="s">
        <v>7873</v>
      </c>
      <c r="AM57" s="16" t="s">
        <v>8787</v>
      </c>
      <c r="AN57" s="2"/>
      <c r="AO57" s="2" t="s">
        <v>8773</v>
      </c>
      <c r="AP57" s="2" t="s">
        <v>8774</v>
      </c>
      <c r="AQ57" s="2" t="s">
        <v>8498</v>
      </c>
      <c r="AR57" s="16" t="s">
        <v>8775</v>
      </c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3:58" ht="17.25" customHeight="1">
      <c r="C58" s="1">
        <v>44045</v>
      </c>
      <c r="E58" s="2" t="s">
        <v>8153</v>
      </c>
      <c r="F58" s="15"/>
      <c r="G58" s="2" t="s">
        <v>8500</v>
      </c>
      <c r="H58" s="2" t="s">
        <v>8499</v>
      </c>
      <c r="I58" s="2"/>
      <c r="J58" s="2">
        <v>1</v>
      </c>
      <c r="K58" s="2"/>
      <c r="L58" s="3">
        <v>33.950000000000003</v>
      </c>
      <c r="M58" s="3">
        <v>3.39</v>
      </c>
      <c r="N58" s="3">
        <v>1.9</v>
      </c>
      <c r="O58" s="3">
        <v>0</v>
      </c>
      <c r="P58" s="3">
        <v>2.38</v>
      </c>
      <c r="Q58" s="6">
        <f t="shared" si="124"/>
        <v>31.040000000000003</v>
      </c>
      <c r="R58" s="3"/>
      <c r="S58" s="3">
        <v>16.95</v>
      </c>
      <c r="T58" s="3">
        <v>1.54</v>
      </c>
      <c r="U58" s="3">
        <v>5</v>
      </c>
      <c r="V58" s="3"/>
      <c r="W58" s="3">
        <v>0</v>
      </c>
      <c r="X58" s="2">
        <f t="shared" ref="X58:X60" si="127">+S58+T58++U58+V58-W58</f>
        <v>23.49</v>
      </c>
      <c r="Y58" s="6">
        <f t="shared" ref="Y58:Y60" si="128">+Q58-X58</f>
        <v>7.5500000000000043</v>
      </c>
      <c r="Z58" s="2"/>
      <c r="AA58" s="2"/>
      <c r="AB58" s="2"/>
      <c r="AC58" s="3"/>
      <c r="AD58" s="2"/>
      <c r="AE58" s="2"/>
      <c r="AF58" s="2"/>
      <c r="AG58" s="2"/>
      <c r="AH58" s="2" t="s">
        <v>8502</v>
      </c>
      <c r="AI58" s="2" t="s">
        <v>8501</v>
      </c>
      <c r="AJ58" s="2"/>
      <c r="AK58" s="2"/>
      <c r="AL58" s="2" t="s">
        <v>7833</v>
      </c>
      <c r="AM58" s="2" t="s">
        <v>8594</v>
      </c>
      <c r="AN58" s="2"/>
      <c r="AO58" s="2" t="s">
        <v>8515</v>
      </c>
      <c r="AP58" s="2" t="s">
        <v>8081</v>
      </c>
      <c r="AQ58" s="2" t="s">
        <v>8158</v>
      </c>
      <c r="AR58" s="16" t="s">
        <v>8530</v>
      </c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3:58" ht="17.25" customHeight="1">
      <c r="C59" s="1">
        <v>44045</v>
      </c>
      <c r="E59" s="2" t="s">
        <v>7917</v>
      </c>
      <c r="F59" s="15"/>
      <c r="G59" s="2" t="s">
        <v>8504</v>
      </c>
      <c r="H59" s="2" t="s">
        <v>8503</v>
      </c>
      <c r="I59" s="2"/>
      <c r="J59" s="2">
        <v>1</v>
      </c>
      <c r="K59" s="2"/>
      <c r="L59" s="3">
        <v>23.5</v>
      </c>
      <c r="M59" s="3">
        <v>2.35</v>
      </c>
      <c r="N59" s="3">
        <v>1.44</v>
      </c>
      <c r="O59" s="3">
        <v>2.2999999999999998</v>
      </c>
      <c r="P59" s="3">
        <f>2.3-2.3</f>
        <v>0</v>
      </c>
      <c r="Q59" s="6">
        <f t="shared" si="124"/>
        <v>19.709999999999997</v>
      </c>
      <c r="R59" s="3"/>
      <c r="S59" s="3">
        <v>12.98</v>
      </c>
      <c r="T59" s="3">
        <v>1.27</v>
      </c>
      <c r="U59" s="3"/>
      <c r="V59" s="3"/>
      <c r="W59" s="3">
        <v>0.65</v>
      </c>
      <c r="X59" s="2">
        <f t="shared" si="127"/>
        <v>13.6</v>
      </c>
      <c r="Y59" s="6">
        <f t="shared" si="128"/>
        <v>6.1099999999999977</v>
      </c>
      <c r="Z59" s="2"/>
      <c r="AA59" s="2"/>
      <c r="AB59" s="2"/>
      <c r="AC59" s="3"/>
      <c r="AD59" s="2"/>
      <c r="AE59" s="2"/>
      <c r="AF59" s="2"/>
      <c r="AG59" s="2"/>
      <c r="AH59" s="2" t="s">
        <v>8506</v>
      </c>
      <c r="AI59" s="2" t="s">
        <v>8505</v>
      </c>
      <c r="AJ59" s="2"/>
      <c r="AK59" s="2"/>
      <c r="AL59" s="2" t="s">
        <v>7826</v>
      </c>
      <c r="AM59" s="2" t="s">
        <v>8868</v>
      </c>
      <c r="AN59" s="2"/>
      <c r="AO59" s="2" t="s">
        <v>8772</v>
      </c>
      <c r="AP59" s="2" t="s">
        <v>5412</v>
      </c>
      <c r="AQ59" s="2" t="s">
        <v>8507</v>
      </c>
      <c r="AR59" s="16" t="s">
        <v>8790</v>
      </c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3:58" ht="17.25" customHeight="1">
      <c r="C60" s="1">
        <v>44045</v>
      </c>
      <c r="E60" s="2" t="s">
        <v>7889</v>
      </c>
      <c r="F60" s="15"/>
      <c r="G60" s="2" t="s">
        <v>8490</v>
      </c>
      <c r="H60" s="2" t="s">
        <v>8489</v>
      </c>
      <c r="I60" s="2"/>
      <c r="J60" s="2">
        <v>1</v>
      </c>
      <c r="K60" s="2"/>
      <c r="L60" s="3">
        <v>35.5</v>
      </c>
      <c r="M60" s="3">
        <v>3.55</v>
      </c>
      <c r="N60" s="3">
        <v>1.99</v>
      </c>
      <c r="O60" s="3">
        <v>3.02</v>
      </c>
      <c r="P60" s="3">
        <f>3.02-3.02</f>
        <v>0</v>
      </c>
      <c r="Q60" s="6">
        <f t="shared" si="124"/>
        <v>29.96</v>
      </c>
      <c r="R60" s="3"/>
      <c r="S60" s="3">
        <v>23.95</v>
      </c>
      <c r="T60" s="3">
        <v>2.04</v>
      </c>
      <c r="U60" s="3"/>
      <c r="V60" s="3"/>
      <c r="W60" s="3"/>
      <c r="X60" s="2">
        <f t="shared" si="127"/>
        <v>25.99</v>
      </c>
      <c r="Y60" s="6">
        <f t="shared" si="128"/>
        <v>3.9700000000000024</v>
      </c>
      <c r="Z60" s="2"/>
      <c r="AA60" s="2"/>
      <c r="AB60" s="2"/>
      <c r="AC60" s="3"/>
      <c r="AD60" s="2"/>
      <c r="AE60" s="2"/>
      <c r="AF60" s="2"/>
      <c r="AG60" s="2"/>
      <c r="AH60" s="2" t="s">
        <v>8492</v>
      </c>
      <c r="AI60" s="2" t="s">
        <v>8491</v>
      </c>
      <c r="AJ60" s="2"/>
      <c r="AK60" s="2"/>
      <c r="AL60" s="2" t="s">
        <v>7873</v>
      </c>
      <c r="AM60" s="16" t="s">
        <v>8785</v>
      </c>
      <c r="AN60" s="2"/>
      <c r="AO60" s="2" t="s">
        <v>8722</v>
      </c>
      <c r="AP60" s="2" t="s">
        <v>8543</v>
      </c>
      <c r="AQ60" s="2" t="s">
        <v>7889</v>
      </c>
      <c r="AR60" s="16" t="s">
        <v>8714</v>
      </c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3:58" ht="17.25" customHeight="1">
      <c r="C61" s="1">
        <v>44045</v>
      </c>
      <c r="E61" s="2" t="s">
        <v>8481</v>
      </c>
      <c r="F61" s="15"/>
      <c r="G61" s="2" t="s">
        <v>8482</v>
      </c>
      <c r="H61" s="2" t="s">
        <v>8483</v>
      </c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2"/>
      <c r="AA61" s="2"/>
      <c r="AB61" s="2"/>
      <c r="AC61" s="3"/>
      <c r="AD61" s="2"/>
      <c r="AE61" s="2"/>
      <c r="AF61" s="2"/>
      <c r="AG61" s="2"/>
      <c r="AH61" s="13" t="s">
        <v>8716</v>
      </c>
      <c r="AI61" s="13" t="s">
        <v>8715</v>
      </c>
      <c r="AJ61" s="2"/>
      <c r="AK61" s="2"/>
      <c r="AL61" s="2"/>
      <c r="AM61" s="2"/>
      <c r="AN61" s="2"/>
      <c r="AO61" s="2"/>
      <c r="AP61" s="5" t="s">
        <v>8204</v>
      </c>
      <c r="AQ61" s="5" t="s">
        <v>8204</v>
      </c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3:58" ht="17.25" customHeight="1">
      <c r="C62" s="1">
        <v>44045</v>
      </c>
      <c r="E62" s="2" t="s">
        <v>7802</v>
      </c>
      <c r="F62" s="15"/>
      <c r="G62" s="2" t="s">
        <v>8485</v>
      </c>
      <c r="H62" s="2" t="s">
        <v>8484</v>
      </c>
      <c r="I62" s="2"/>
      <c r="J62" s="2">
        <v>1</v>
      </c>
      <c r="K62" s="2"/>
      <c r="L62" s="3">
        <v>18.75</v>
      </c>
      <c r="M62" s="3">
        <v>1.87</v>
      </c>
      <c r="N62" s="3">
        <v>1.18</v>
      </c>
      <c r="O62" s="3">
        <v>1.27</v>
      </c>
      <c r="P62" s="3">
        <f>1.27-1.27</f>
        <v>0</v>
      </c>
      <c r="Q62" s="6">
        <f t="shared" ref="Q62:Q63" si="129">+L62-M62-N62+P62</f>
        <v>15.7</v>
      </c>
      <c r="R62" s="3"/>
      <c r="S62" s="3">
        <v>10.99</v>
      </c>
      <c r="T62" s="3">
        <v>0.74</v>
      </c>
      <c r="U62" s="3">
        <v>0</v>
      </c>
      <c r="V62" s="3">
        <v>0</v>
      </c>
      <c r="W62" s="3">
        <v>0</v>
      </c>
      <c r="X62" s="2">
        <f t="shared" ref="X62:X63" si="130">+S62+T62++U62+V62-W62</f>
        <v>11.73</v>
      </c>
      <c r="Y62" s="6">
        <f t="shared" ref="Y62:Y63" si="131">+Q62-X62</f>
        <v>3.9699999999999989</v>
      </c>
      <c r="Z62" s="2"/>
      <c r="AA62" s="2"/>
      <c r="AB62" s="2"/>
      <c r="AC62" s="3"/>
      <c r="AD62" s="2"/>
      <c r="AE62" s="2"/>
      <c r="AF62" s="2"/>
      <c r="AG62" s="2"/>
      <c r="AH62" s="2" t="s">
        <v>8487</v>
      </c>
      <c r="AI62" s="2" t="s">
        <v>8486</v>
      </c>
      <c r="AJ62" s="2"/>
      <c r="AK62" s="2"/>
      <c r="AL62" s="2" t="s">
        <v>7873</v>
      </c>
      <c r="AM62" s="16" t="s">
        <v>8738</v>
      </c>
      <c r="AN62" s="2"/>
      <c r="AO62" s="2" t="s">
        <v>8670</v>
      </c>
      <c r="AP62" s="2" t="s">
        <v>7938</v>
      </c>
      <c r="AQ62" s="2" t="s">
        <v>8488</v>
      </c>
      <c r="AR62" s="16" t="s">
        <v>8580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3:58" ht="17.25" customHeight="1">
      <c r="C63" s="1">
        <v>44045</v>
      </c>
      <c r="E63" s="2" t="s">
        <v>8456</v>
      </c>
      <c r="F63" s="15"/>
      <c r="G63" s="2" t="s">
        <v>8458</v>
      </c>
      <c r="H63" s="2" t="s">
        <v>8457</v>
      </c>
      <c r="I63" s="2"/>
      <c r="J63" s="2">
        <v>1</v>
      </c>
      <c r="K63" s="2"/>
      <c r="L63" s="3">
        <v>16.5</v>
      </c>
      <c r="M63" s="3">
        <v>1.65</v>
      </c>
      <c r="N63" s="3">
        <v>1.0900000000000001</v>
      </c>
      <c r="O63" s="3">
        <v>1.36</v>
      </c>
      <c r="P63" s="3">
        <f>1.36-1.36</f>
        <v>0</v>
      </c>
      <c r="Q63" s="6">
        <f t="shared" si="129"/>
        <v>13.76</v>
      </c>
      <c r="R63" s="3"/>
      <c r="S63" s="3">
        <v>8.99</v>
      </c>
      <c r="T63" s="3">
        <v>0.74</v>
      </c>
      <c r="U63" s="3"/>
      <c r="V63" s="3"/>
      <c r="W63" s="3">
        <v>0.45</v>
      </c>
      <c r="X63" s="2">
        <f t="shared" si="130"/>
        <v>9.2800000000000011</v>
      </c>
      <c r="Y63" s="6">
        <f t="shared" si="131"/>
        <v>4.4799999999999986</v>
      </c>
      <c r="Z63" s="2"/>
      <c r="AA63" s="2"/>
      <c r="AB63" s="2"/>
      <c r="AC63" s="3"/>
      <c r="AD63" s="2"/>
      <c r="AE63" s="2"/>
      <c r="AF63" s="2"/>
      <c r="AG63" s="2"/>
      <c r="AH63" s="2" t="s">
        <v>8460</v>
      </c>
      <c r="AI63" s="2" t="s">
        <v>8459</v>
      </c>
      <c r="AJ63" s="2"/>
      <c r="AK63" s="2"/>
      <c r="AL63" s="2"/>
      <c r="AM63" s="2"/>
      <c r="AN63" s="2"/>
      <c r="AO63" s="2" t="s">
        <v>8770</v>
      </c>
      <c r="AP63" s="2" t="s">
        <v>8376</v>
      </c>
      <c r="AQ63" s="2" t="s">
        <v>8461</v>
      </c>
      <c r="AR63" s="16" t="s">
        <v>8150</v>
      </c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3:58" ht="17.25" customHeight="1">
      <c r="C64" s="1">
        <v>44045</v>
      </c>
      <c r="E64" s="2" t="s">
        <v>8035</v>
      </c>
      <c r="F64" s="15"/>
      <c r="G64" s="2" t="s">
        <v>8431</v>
      </c>
      <c r="H64" s="2" t="s">
        <v>8451</v>
      </c>
      <c r="I64" s="2"/>
      <c r="J64" s="2">
        <v>1</v>
      </c>
      <c r="K64" s="2"/>
      <c r="L64" s="3">
        <v>33.85</v>
      </c>
      <c r="M64" s="3">
        <v>3.38</v>
      </c>
      <c r="N64" s="3">
        <v>1.79</v>
      </c>
      <c r="O64" s="3">
        <v>0</v>
      </c>
      <c r="P64" s="3">
        <v>0</v>
      </c>
      <c r="Q64" s="6">
        <f t="shared" ref="Q64" si="132">+L64-M64-N64+P64</f>
        <v>28.680000000000003</v>
      </c>
      <c r="R64" s="3"/>
      <c r="S64" s="3">
        <v>18.149999999999999</v>
      </c>
      <c r="T64" s="3">
        <v>2.09</v>
      </c>
      <c r="U64" s="3"/>
      <c r="V64" s="3"/>
      <c r="W64" s="3">
        <v>0.91</v>
      </c>
      <c r="X64" s="2">
        <f t="shared" ref="X64" si="133">+S64+T64++U64+V64-W64</f>
        <v>19.329999999999998</v>
      </c>
      <c r="Y64" s="6">
        <f t="shared" ref="Y64" si="134">+Q64-X64</f>
        <v>9.350000000000005</v>
      </c>
      <c r="Z64" s="2"/>
      <c r="AA64" s="2"/>
      <c r="AB64" s="2"/>
      <c r="AC64" s="3"/>
      <c r="AD64" s="2"/>
      <c r="AE64" s="2"/>
      <c r="AF64" s="2"/>
      <c r="AG64" s="2"/>
      <c r="AH64" s="2" t="s">
        <v>8433</v>
      </c>
      <c r="AI64" s="2" t="s">
        <v>8432</v>
      </c>
      <c r="AJ64" s="2"/>
      <c r="AK64" s="2"/>
      <c r="AL64" s="2"/>
      <c r="AM64" s="2"/>
      <c r="AN64" s="2"/>
      <c r="AO64" s="2" t="s">
        <v>8645</v>
      </c>
      <c r="AP64" s="2" t="s">
        <v>5412</v>
      </c>
      <c r="AQ64" s="2" t="s">
        <v>8040</v>
      </c>
      <c r="AR64" s="16" t="s">
        <v>8641</v>
      </c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3:58" ht="17.25" customHeight="1">
      <c r="C65" s="1">
        <v>44045</v>
      </c>
      <c r="E65" s="2" t="s">
        <v>61</v>
      </c>
      <c r="F65" s="15"/>
      <c r="G65" s="2" t="s">
        <v>8453</v>
      </c>
      <c r="H65" s="2" t="s">
        <v>8452</v>
      </c>
      <c r="I65" s="2"/>
      <c r="J65" s="2">
        <v>1</v>
      </c>
      <c r="K65" s="2"/>
      <c r="L65" s="3">
        <v>94.35</v>
      </c>
      <c r="M65" s="3">
        <v>9.43</v>
      </c>
      <c r="N65" s="3">
        <v>4.79</v>
      </c>
      <c r="O65" s="3">
        <v>7.34</v>
      </c>
      <c r="P65" s="3">
        <f>7.34-7.34</f>
        <v>0</v>
      </c>
      <c r="Q65" s="6">
        <f t="shared" ref="Q65" si="135">+L65-M65-N65+P65</f>
        <v>80.129999999999981</v>
      </c>
      <c r="R65" s="3"/>
      <c r="S65" s="3">
        <v>51.99</v>
      </c>
      <c r="T65" s="3">
        <v>4.04</v>
      </c>
      <c r="U65" s="3">
        <v>0</v>
      </c>
      <c r="V65" s="3"/>
      <c r="W65" s="3"/>
      <c r="X65" s="2">
        <f t="shared" ref="X65" si="136">+S65+T65++U65+V65-W65</f>
        <v>56.03</v>
      </c>
      <c r="Y65" s="6">
        <f t="shared" ref="Y65" si="137">+Q65-X65</f>
        <v>24.09999999999998</v>
      </c>
      <c r="Z65" s="6">
        <f>SUM(Y57:Y65)</f>
        <v>67.09999999999998</v>
      </c>
      <c r="AA65" s="2">
        <f>SUM(J57:J65)</f>
        <v>8</v>
      </c>
      <c r="AB65" s="2"/>
      <c r="AC65" s="3"/>
      <c r="AD65" s="2"/>
      <c r="AE65" s="2"/>
      <c r="AF65" s="2"/>
      <c r="AG65" s="2"/>
      <c r="AH65" s="2" t="s">
        <v>8455</v>
      </c>
      <c r="AI65" s="2" t="s">
        <v>8454</v>
      </c>
      <c r="AJ65" s="2"/>
      <c r="AK65" s="2"/>
      <c r="AL65" s="2" t="s">
        <v>7833</v>
      </c>
      <c r="AM65" s="16" t="s">
        <v>8749</v>
      </c>
      <c r="AN65" s="2"/>
      <c r="AO65" s="2" t="s">
        <v>8748</v>
      </c>
      <c r="AP65" s="2" t="s">
        <v>8081</v>
      </c>
      <c r="AQ65" s="2" t="s">
        <v>8100</v>
      </c>
      <c r="AR65" s="16" t="s">
        <v>8580</v>
      </c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3:58" ht="17.25" customHeight="1">
      <c r="C66" s="1">
        <v>44044</v>
      </c>
      <c r="E66" s="2" t="s">
        <v>8341</v>
      </c>
      <c r="F66" s="15"/>
      <c r="G66" s="2" t="s">
        <v>8448</v>
      </c>
      <c r="H66" s="2" t="s">
        <v>8447</v>
      </c>
      <c r="I66" s="2"/>
      <c r="J66" s="2">
        <v>1</v>
      </c>
      <c r="K66" s="2"/>
      <c r="L66" s="3">
        <v>58.5</v>
      </c>
      <c r="M66" s="3">
        <v>5.85</v>
      </c>
      <c r="N66" s="3">
        <v>3.03</v>
      </c>
      <c r="O66" s="3">
        <v>3.51</v>
      </c>
      <c r="P66" s="3">
        <f>3.51-3.51</f>
        <v>0</v>
      </c>
      <c r="Q66" s="6">
        <f t="shared" ref="Q66" si="138">+L66-M66-N66+P66</f>
        <v>49.62</v>
      </c>
      <c r="R66" s="3"/>
      <c r="S66" s="3">
        <v>30.97</v>
      </c>
      <c r="T66" s="3">
        <v>1.86</v>
      </c>
      <c r="U66" s="3"/>
      <c r="V66" s="3"/>
      <c r="W66" s="3">
        <v>1.55</v>
      </c>
      <c r="X66" s="2">
        <f t="shared" ref="X66" si="139">+S66+T66++U66+V66-W66</f>
        <v>31.279999999999998</v>
      </c>
      <c r="Y66" s="6">
        <f t="shared" ref="Y66" si="140">+Q66-X66</f>
        <v>18.34</v>
      </c>
      <c r="Z66" s="2"/>
      <c r="AA66" s="2"/>
      <c r="AB66" s="2"/>
      <c r="AC66" s="3"/>
      <c r="AD66" s="2"/>
      <c r="AE66" s="2"/>
      <c r="AF66" s="2"/>
      <c r="AG66" s="2"/>
      <c r="AH66" s="2" t="s">
        <v>8450</v>
      </c>
      <c r="AI66" s="2" t="s">
        <v>8449</v>
      </c>
      <c r="AJ66" s="2"/>
      <c r="AK66" s="2"/>
      <c r="AL66" s="2" t="s">
        <v>7826</v>
      </c>
      <c r="AM66" s="2" t="s">
        <v>8870</v>
      </c>
      <c r="AN66" s="2"/>
      <c r="AO66" s="2" t="s">
        <v>8769</v>
      </c>
      <c r="AP66" s="2" t="s">
        <v>5412</v>
      </c>
      <c r="AQ66" s="2" t="s">
        <v>8341</v>
      </c>
      <c r="AR66" s="16" t="s">
        <v>8677</v>
      </c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3:58" ht="17.25" customHeight="1">
      <c r="C67" s="1">
        <v>44044</v>
      </c>
      <c r="E67" s="2" t="s">
        <v>8925</v>
      </c>
      <c r="F67" s="15"/>
      <c r="G67" s="2" t="s">
        <v>8444</v>
      </c>
      <c r="H67" s="2" t="s">
        <v>8443</v>
      </c>
      <c r="I67" s="2"/>
      <c r="J67" s="2">
        <v>1</v>
      </c>
      <c r="K67" s="2"/>
      <c r="L67" s="3">
        <v>33.85</v>
      </c>
      <c r="M67" s="3">
        <v>3.38</v>
      </c>
      <c r="N67" s="3">
        <v>1.89</v>
      </c>
      <c r="O67" s="3">
        <v>2.3199999999999998</v>
      </c>
      <c r="P67" s="3">
        <f>2.32-2.32</f>
        <v>0</v>
      </c>
      <c r="Q67" s="6">
        <f t="shared" ref="Q67" si="141">+L67-M67-N67+P67</f>
        <v>28.580000000000002</v>
      </c>
      <c r="R67" s="3"/>
      <c r="S67" s="3">
        <v>21.79</v>
      </c>
      <c r="T67" s="3">
        <v>1.49</v>
      </c>
      <c r="U67" s="3"/>
      <c r="V67" s="3"/>
      <c r="W67" s="3">
        <v>1.0900000000000001</v>
      </c>
      <c r="X67" s="3">
        <f t="shared" ref="X67" si="142">+S67+T67++U67+V67-W67</f>
        <v>22.189999999999998</v>
      </c>
      <c r="Y67" s="6">
        <f t="shared" ref="Y67" si="143">+Q67-X67</f>
        <v>6.3900000000000041</v>
      </c>
      <c r="Z67" s="2"/>
      <c r="AA67" s="2"/>
      <c r="AB67" s="2"/>
      <c r="AC67" s="3"/>
      <c r="AD67" s="2"/>
      <c r="AE67" s="2"/>
      <c r="AF67" s="2"/>
      <c r="AG67" s="2"/>
      <c r="AH67" s="2" t="s">
        <v>8446</v>
      </c>
      <c r="AI67" s="2" t="s">
        <v>8445</v>
      </c>
      <c r="AJ67" s="2"/>
      <c r="AK67" s="2"/>
      <c r="AL67" s="2" t="s">
        <v>7873</v>
      </c>
      <c r="AM67" s="16" t="s">
        <v>8634</v>
      </c>
      <c r="AN67" s="2"/>
      <c r="AO67" s="2" t="s">
        <v>8585</v>
      </c>
      <c r="AP67" s="2" t="s">
        <v>5412</v>
      </c>
      <c r="AQ67" s="2" t="s">
        <v>8187</v>
      </c>
      <c r="AR67" s="16" t="s">
        <v>8380</v>
      </c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3:58" ht="17.25" customHeight="1">
      <c r="C68" s="1">
        <v>44044</v>
      </c>
      <c r="E68" s="2" t="s">
        <v>4009</v>
      </c>
      <c r="F68" s="15"/>
      <c r="G68" s="2" t="s">
        <v>8435</v>
      </c>
      <c r="H68" s="2" t="s">
        <v>8434</v>
      </c>
      <c r="I68" s="2"/>
      <c r="J68" s="2">
        <v>1</v>
      </c>
      <c r="K68" s="2"/>
      <c r="L68" s="3">
        <v>39.950000000000003</v>
      </c>
      <c r="M68" s="3">
        <v>3.99</v>
      </c>
      <c r="N68" s="3">
        <v>2.1800000000000002</v>
      </c>
      <c r="O68" s="3"/>
      <c r="P68" s="3">
        <v>2.8</v>
      </c>
      <c r="Q68" s="6">
        <f t="shared" ref="Q68:Q69" si="144">+L68-M68-N68+P68</f>
        <v>36.58</v>
      </c>
      <c r="R68" s="3"/>
      <c r="S68" s="3">
        <v>21.78</v>
      </c>
      <c r="T68" s="3">
        <v>1.53</v>
      </c>
      <c r="U68" s="3">
        <v>5</v>
      </c>
      <c r="V68" s="3"/>
      <c r="W68" s="3"/>
      <c r="X68" s="2">
        <f t="shared" ref="X68:X69" si="145">+S68+T68++U68+V68-W68</f>
        <v>28.310000000000002</v>
      </c>
      <c r="Y68" s="6">
        <f t="shared" ref="Y68:Y69" si="146">+Q68-X68</f>
        <v>8.269999999999996</v>
      </c>
      <c r="Z68" s="2"/>
      <c r="AA68" s="2"/>
      <c r="AB68" s="2"/>
      <c r="AC68" s="3"/>
      <c r="AD68" s="2"/>
      <c r="AE68" s="2"/>
      <c r="AF68" s="2"/>
      <c r="AG68" s="2"/>
      <c r="AH68" s="2" t="s">
        <v>8437</v>
      </c>
      <c r="AI68" s="2" t="s">
        <v>8436</v>
      </c>
      <c r="AJ68" s="2"/>
      <c r="AK68" s="2"/>
      <c r="AL68" s="2" t="s">
        <v>7833</v>
      </c>
      <c r="AM68" s="2" t="s">
        <v>8776</v>
      </c>
      <c r="AN68" s="2"/>
      <c r="AO68" s="2" t="s">
        <v>8751</v>
      </c>
      <c r="AP68" s="2" t="s">
        <v>8081</v>
      </c>
      <c r="AQ68" s="2" t="s">
        <v>8438</v>
      </c>
      <c r="AR68" s="16" t="s">
        <v>8777</v>
      </c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3:58" ht="17.25" customHeight="1">
      <c r="C69" s="1">
        <v>44044</v>
      </c>
      <c r="E69" s="2" t="s">
        <v>7889</v>
      </c>
      <c r="F69" s="15"/>
      <c r="G69" s="2" t="s">
        <v>8431</v>
      </c>
      <c r="H69" s="2" t="s">
        <v>8451</v>
      </c>
      <c r="I69" s="2"/>
      <c r="J69" s="2">
        <v>1</v>
      </c>
      <c r="K69" s="2"/>
      <c r="L69" s="3">
        <v>35.5</v>
      </c>
      <c r="M69" s="3">
        <v>3.55</v>
      </c>
      <c r="N69" s="3">
        <v>1.96</v>
      </c>
      <c r="O69" s="3"/>
      <c r="P69" s="3"/>
      <c r="Q69" s="6">
        <f t="shared" si="144"/>
        <v>29.99</v>
      </c>
      <c r="R69" s="3"/>
      <c r="S69" s="3">
        <v>23.95</v>
      </c>
      <c r="T69" s="3">
        <v>2.75</v>
      </c>
      <c r="U69" s="3"/>
      <c r="V69" s="3"/>
      <c r="W69" s="3"/>
      <c r="X69" s="2">
        <f t="shared" si="145"/>
        <v>26.7</v>
      </c>
      <c r="Y69" s="6">
        <f t="shared" si="146"/>
        <v>3.2899999999999991</v>
      </c>
      <c r="Z69" s="2"/>
      <c r="AA69" s="2"/>
      <c r="AB69" s="2"/>
      <c r="AC69" s="3"/>
      <c r="AD69" s="2"/>
      <c r="AE69" s="2"/>
      <c r="AF69" s="2"/>
      <c r="AG69" s="2"/>
      <c r="AH69" s="2" t="s">
        <v>8433</v>
      </c>
      <c r="AI69" s="2" t="s">
        <v>8432</v>
      </c>
      <c r="AJ69" s="2"/>
      <c r="AK69" s="2"/>
      <c r="AL69" s="2" t="s">
        <v>7873</v>
      </c>
      <c r="AM69" s="22" t="s">
        <v>8627</v>
      </c>
      <c r="AN69" s="2"/>
      <c r="AO69" s="2" t="s">
        <v>8542</v>
      </c>
      <c r="AP69" s="2" t="s">
        <v>8543</v>
      </c>
      <c r="AQ69" s="2" t="s">
        <v>7889</v>
      </c>
      <c r="AR69" s="16" t="s">
        <v>8544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3:58" ht="17.25" customHeight="1">
      <c r="C70" s="1">
        <v>44044</v>
      </c>
      <c r="E70" s="2" t="s">
        <v>7889</v>
      </c>
      <c r="F70" s="15"/>
      <c r="G70" s="2" t="s">
        <v>8440</v>
      </c>
      <c r="H70" s="2" t="s">
        <v>8439</v>
      </c>
      <c r="I70" s="2"/>
      <c r="J70" s="2">
        <v>1</v>
      </c>
      <c r="K70" s="2"/>
      <c r="L70" s="3">
        <v>35.5</v>
      </c>
      <c r="M70" s="3">
        <v>3.55</v>
      </c>
      <c r="N70" s="3">
        <v>1.96</v>
      </c>
      <c r="O70" s="3"/>
      <c r="P70" s="3"/>
      <c r="Q70" s="6">
        <f t="shared" ref="Q70:Q71" si="147">+L70-M70-N70+P70</f>
        <v>29.99</v>
      </c>
      <c r="R70" s="3"/>
      <c r="S70" s="3">
        <v>23.95</v>
      </c>
      <c r="T70" s="3">
        <v>1.44</v>
      </c>
      <c r="U70" s="3"/>
      <c r="V70" s="3"/>
      <c r="W70" s="3"/>
      <c r="X70" s="2">
        <f t="shared" ref="X70" si="148">+S70+T70++U70+V70-W70</f>
        <v>25.39</v>
      </c>
      <c r="Y70" s="6">
        <f t="shared" ref="Y70" si="149">+Q70-X70</f>
        <v>4.5999999999999979</v>
      </c>
      <c r="Z70" s="2"/>
      <c r="AA70" s="2"/>
      <c r="AB70" s="2"/>
      <c r="AC70" s="3"/>
      <c r="AD70" s="2"/>
      <c r="AE70" s="2"/>
      <c r="AF70" s="2"/>
      <c r="AG70" s="2"/>
      <c r="AH70" s="2" t="s">
        <v>8442</v>
      </c>
      <c r="AI70" s="2" t="s">
        <v>8441</v>
      </c>
      <c r="AJ70" s="2"/>
      <c r="AK70" s="2"/>
      <c r="AL70" s="2" t="s">
        <v>7873</v>
      </c>
      <c r="AM70" s="16" t="s">
        <v>8783</v>
      </c>
      <c r="AN70" s="2"/>
      <c r="AO70" s="2" t="s">
        <v>8713</v>
      </c>
      <c r="AP70" s="2" t="s">
        <v>8543</v>
      </c>
      <c r="AQ70" s="2" t="s">
        <v>7889</v>
      </c>
      <c r="AR70" s="16" t="s">
        <v>8714</v>
      </c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3:58" ht="17.25" customHeight="1">
      <c r="C71" s="1">
        <v>44044</v>
      </c>
      <c r="E71" s="2" t="s">
        <v>7672</v>
      </c>
      <c r="F71" s="15"/>
      <c r="G71" s="2" t="s">
        <v>8431</v>
      </c>
      <c r="H71" s="2" t="s">
        <v>8451</v>
      </c>
      <c r="I71" s="2"/>
      <c r="J71" s="2">
        <v>1</v>
      </c>
      <c r="K71" s="2"/>
      <c r="L71" s="3">
        <v>35.5</v>
      </c>
      <c r="M71" s="3">
        <v>3.55</v>
      </c>
      <c r="N71" s="3">
        <v>1.96</v>
      </c>
      <c r="O71" s="3">
        <v>2.13</v>
      </c>
      <c r="P71" s="3">
        <f>2.13-2.13</f>
        <v>0</v>
      </c>
      <c r="Q71" s="6">
        <f t="shared" si="147"/>
        <v>29.99</v>
      </c>
      <c r="R71" s="3"/>
      <c r="S71" s="3">
        <v>18.03</v>
      </c>
      <c r="T71" s="3">
        <v>2.0699999999999998</v>
      </c>
      <c r="U71" s="3"/>
      <c r="V71" s="3"/>
      <c r="W71" s="3">
        <v>0.9</v>
      </c>
      <c r="X71" s="2">
        <f t="shared" ref="X71" si="150">+S71+T71++U71+V71-W71</f>
        <v>19.200000000000003</v>
      </c>
      <c r="Y71" s="6">
        <f t="shared" ref="Y71" si="151">+Q71-X71</f>
        <v>10.789999999999996</v>
      </c>
      <c r="Z71" s="2">
        <f>SUM(Y66:Y71)</f>
        <v>51.679999999999993</v>
      </c>
      <c r="AA71" s="34">
        <f>SUM(J66:J71)</f>
        <v>6</v>
      </c>
      <c r="AB71" s="2"/>
      <c r="AC71" s="3"/>
      <c r="AD71" s="2"/>
      <c r="AE71" s="2"/>
      <c r="AF71" s="2"/>
      <c r="AG71" s="2"/>
      <c r="AH71" s="2" t="s">
        <v>8433</v>
      </c>
      <c r="AI71" s="2" t="s">
        <v>8432</v>
      </c>
      <c r="AJ71" s="2"/>
      <c r="AK71" s="2"/>
      <c r="AL71" s="2"/>
      <c r="AM71" s="2"/>
      <c r="AN71" s="2"/>
      <c r="AO71" s="2" t="s">
        <v>8645</v>
      </c>
      <c r="AP71" s="2" t="s">
        <v>5412</v>
      </c>
      <c r="AQ71" s="16" t="s">
        <v>8087</v>
      </c>
      <c r="AR71" s="16" t="s">
        <v>8641</v>
      </c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3:58" ht="17.25" customHeight="1">
      <c r="C72" s="1"/>
      <c r="E72" s="2"/>
      <c r="F72" s="15"/>
      <c r="G72" s="2"/>
      <c r="H72" s="2"/>
      <c r="I72" s="2"/>
      <c r="J72" s="2">
        <f>SUM(J2:J71)</f>
        <v>67</v>
      </c>
      <c r="K72" s="2"/>
      <c r="L72" s="2">
        <f>SUM(L2:L71)</f>
        <v>2435.14</v>
      </c>
      <c r="M72" s="2">
        <f>SUM(M2:M71)</f>
        <v>243.35000000000002</v>
      </c>
      <c r="N72" s="2">
        <f>SUM(N2:N71)</f>
        <v>134.03000000000003</v>
      </c>
      <c r="O72" s="2">
        <f>SUM(O2:O71)</f>
        <v>125.31</v>
      </c>
      <c r="P72" s="3"/>
      <c r="Q72" s="2">
        <f>SUM(Q2:Q71)</f>
        <v>2086.77</v>
      </c>
      <c r="R72" s="3"/>
      <c r="S72" s="2">
        <f>SUM(S2:S71)</f>
        <v>1370.9800000000005</v>
      </c>
      <c r="T72" s="2">
        <f>SUM(T2:T71)</f>
        <v>92.97</v>
      </c>
      <c r="U72" s="2">
        <f>SUM(U2:U71)</f>
        <v>59.370000000000005</v>
      </c>
      <c r="V72" s="2">
        <f>SUM(V2:V71)</f>
        <v>0</v>
      </c>
      <c r="W72" s="2">
        <f>SUM(W2:W71)</f>
        <v>48.589999999999996</v>
      </c>
      <c r="X72" s="2">
        <f>SUM(X2:X71)</f>
        <v>1474.73</v>
      </c>
      <c r="Y72" s="2">
        <f>SUM(Y2:Y71)</f>
        <v>602.99</v>
      </c>
      <c r="Z72" s="2">
        <f>SUM(Z2:Z71)</f>
        <v>602.9899999999999</v>
      </c>
      <c r="AA72" s="2">
        <f>SUM(AA2:AA71)</f>
        <v>67</v>
      </c>
      <c r="AB72" s="2"/>
      <c r="AC72" s="3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16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3:58" ht="17.25" customHeight="1">
      <c r="C73" s="1"/>
      <c r="E73" s="2"/>
      <c r="F73" s="15"/>
      <c r="G73" s="2"/>
      <c r="H73" s="2"/>
      <c r="I73" s="2"/>
      <c r="J73" s="2"/>
      <c r="K73" s="2"/>
      <c r="L73" s="3"/>
      <c r="M73" s="3"/>
      <c r="N73" s="3"/>
      <c r="O73" s="3"/>
      <c r="P73" s="3"/>
      <c r="Q73" s="6"/>
      <c r="R73" s="3"/>
      <c r="S73" s="3"/>
      <c r="T73" s="3"/>
      <c r="U73" s="3"/>
      <c r="V73" s="3"/>
      <c r="W73" s="3"/>
      <c r="X73" s="2"/>
      <c r="Y73" s="6"/>
      <c r="Z73" s="2"/>
      <c r="AA73" s="34"/>
      <c r="AB73" s="2"/>
      <c r="AC73" s="3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16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3:58" ht="17.25" customHeight="1">
      <c r="C74" s="1">
        <v>44043</v>
      </c>
      <c r="E74" s="2" t="s">
        <v>8399</v>
      </c>
      <c r="F74" s="15"/>
      <c r="G74" s="2" t="s">
        <v>8409</v>
      </c>
      <c r="H74" s="2" t="s">
        <v>8408</v>
      </c>
      <c r="I74" s="2"/>
      <c r="J74" s="2">
        <v>1</v>
      </c>
      <c r="K74" s="2"/>
      <c r="L74" s="3">
        <v>57</v>
      </c>
      <c r="M74" s="3">
        <v>5.7</v>
      </c>
      <c r="N74" s="3">
        <v>3.02</v>
      </c>
      <c r="O74" s="3">
        <v>4.9000000000000004</v>
      </c>
      <c r="P74" s="3">
        <f>4.9-4.9</f>
        <v>0</v>
      </c>
      <c r="Q74" s="6">
        <f t="shared" ref="Q74:Q78" si="152">+L74-M74-N74+P74</f>
        <v>48.279999999999994</v>
      </c>
      <c r="R74" s="3"/>
      <c r="S74" s="3">
        <v>19.989999999999998</v>
      </c>
      <c r="T74" s="3">
        <v>0.64</v>
      </c>
      <c r="U74" s="3"/>
      <c r="V74" s="3"/>
      <c r="W74" s="3">
        <v>1</v>
      </c>
      <c r="X74" s="3">
        <f t="shared" ref="X74" si="153">+S74+T74++U74+V74-W74</f>
        <v>19.63</v>
      </c>
      <c r="Y74" s="6">
        <f t="shared" ref="Y74" si="154">+Q74-X74</f>
        <v>28.649999999999995</v>
      </c>
      <c r="Z74" s="2"/>
      <c r="AA74" s="2"/>
      <c r="AB74" s="2"/>
      <c r="AC74" s="3"/>
      <c r="AD74" s="2"/>
      <c r="AE74" s="2"/>
      <c r="AF74" s="2"/>
      <c r="AG74" s="2"/>
      <c r="AH74" s="2" t="s">
        <v>8708</v>
      </c>
      <c r="AI74" s="2" t="s">
        <v>8707</v>
      </c>
      <c r="AJ74" s="2"/>
      <c r="AK74" s="2"/>
      <c r="AL74" s="2"/>
      <c r="AM74" s="2"/>
      <c r="AN74" s="2"/>
      <c r="AO74" s="2" t="s">
        <v>8710</v>
      </c>
      <c r="AP74" s="2" t="s">
        <v>5412</v>
      </c>
      <c r="AQ74" s="2" t="s">
        <v>8709</v>
      </c>
      <c r="AR74" s="16" t="s">
        <v>8150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3:58" ht="17.25" customHeight="1">
      <c r="C75" s="1">
        <v>44043</v>
      </c>
      <c r="E75" s="2" t="s">
        <v>8393</v>
      </c>
      <c r="F75" s="15"/>
      <c r="G75" s="2" t="s">
        <v>8392</v>
      </c>
      <c r="H75" s="2" t="s">
        <v>8391</v>
      </c>
      <c r="I75" s="2"/>
      <c r="J75" s="2">
        <v>1</v>
      </c>
      <c r="K75" s="2"/>
      <c r="L75" s="3">
        <v>31.95</v>
      </c>
      <c r="M75" s="3">
        <v>3.19</v>
      </c>
      <c r="N75" s="3">
        <v>1.8</v>
      </c>
      <c r="O75" s="3">
        <v>2.16</v>
      </c>
      <c r="P75" s="3">
        <f>2.16-2.16</f>
        <v>0</v>
      </c>
      <c r="Q75" s="6">
        <f t="shared" si="152"/>
        <v>26.959999999999997</v>
      </c>
      <c r="R75" s="3"/>
      <c r="S75" s="3">
        <v>20.2</v>
      </c>
      <c r="T75" s="3">
        <v>1.36</v>
      </c>
      <c r="U75" s="3"/>
      <c r="V75" s="3"/>
      <c r="W75" s="3">
        <v>1.01</v>
      </c>
      <c r="X75" s="3">
        <f t="shared" ref="X75" si="155">+S75+T75++U75+V75-W75</f>
        <v>20.549999999999997</v>
      </c>
      <c r="Y75" s="6">
        <f t="shared" ref="Y75" si="156">+Q75-X75</f>
        <v>6.41</v>
      </c>
      <c r="Z75" s="2"/>
      <c r="AA75" s="2"/>
      <c r="AB75" s="2"/>
      <c r="AC75" s="3"/>
      <c r="AD75" s="2"/>
      <c r="AE75" s="2"/>
      <c r="AF75" s="2"/>
      <c r="AG75" s="2"/>
      <c r="AH75" s="2" t="s">
        <v>8395</v>
      </c>
      <c r="AI75" s="2" t="s">
        <v>8394</v>
      </c>
      <c r="AJ75" s="2"/>
      <c r="AK75" s="2"/>
      <c r="AL75" s="2" t="s">
        <v>7833</v>
      </c>
      <c r="AM75" s="2" t="s">
        <v>8789</v>
      </c>
      <c r="AN75" s="2"/>
      <c r="AO75" s="2" t="s">
        <v>8711</v>
      </c>
      <c r="AP75" s="2" t="s">
        <v>5412</v>
      </c>
      <c r="AQ75" s="2" t="s">
        <v>8405</v>
      </c>
      <c r="AR75" s="16" t="s">
        <v>8476</v>
      </c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3:58" ht="17.25" customHeight="1">
      <c r="C76" s="1">
        <v>44043</v>
      </c>
      <c r="E76" s="2" t="s">
        <v>8035</v>
      </c>
      <c r="F76" s="15"/>
      <c r="G76" s="2" t="s">
        <v>8396</v>
      </c>
      <c r="H76" s="2" t="s">
        <v>8639</v>
      </c>
      <c r="I76" s="2"/>
      <c r="J76" s="2">
        <v>2</v>
      </c>
      <c r="K76" s="2"/>
      <c r="L76" s="3">
        <v>67.7</v>
      </c>
      <c r="M76" s="3">
        <v>6.77</v>
      </c>
      <c r="N76" s="3">
        <v>3.28</v>
      </c>
      <c r="O76" s="3"/>
      <c r="P76" s="3"/>
      <c r="Q76" s="6">
        <f t="shared" si="152"/>
        <v>57.650000000000006</v>
      </c>
      <c r="R76" s="3"/>
      <c r="S76" s="3">
        <v>37.96</v>
      </c>
      <c r="T76" s="3">
        <v>4.3600000000000003</v>
      </c>
      <c r="U76" s="3"/>
      <c r="V76" s="3"/>
      <c r="W76" s="3">
        <v>1.9</v>
      </c>
      <c r="X76" s="3">
        <f t="shared" ref="X76" si="157">+S76+T76++U76+V76-W76</f>
        <v>40.42</v>
      </c>
      <c r="Y76" s="6">
        <f t="shared" ref="Y76" si="158">+Q76-X76</f>
        <v>17.230000000000004</v>
      </c>
      <c r="Z76" s="2"/>
      <c r="AA76" s="2"/>
      <c r="AB76" s="2"/>
      <c r="AC76" s="3"/>
      <c r="AD76" s="2"/>
      <c r="AE76" s="2"/>
      <c r="AF76" s="2"/>
      <c r="AG76" s="2"/>
      <c r="AH76" s="2" t="s">
        <v>8398</v>
      </c>
      <c r="AI76" s="2" t="s">
        <v>8397</v>
      </c>
      <c r="AJ76" s="2"/>
      <c r="AK76" s="2"/>
      <c r="AL76" s="2"/>
      <c r="AM76" s="2"/>
      <c r="AN76" s="2"/>
      <c r="AO76" s="2" t="s">
        <v>8640</v>
      </c>
      <c r="AP76" s="2" t="s">
        <v>5412</v>
      </c>
      <c r="AQ76" s="2" t="s">
        <v>8040</v>
      </c>
      <c r="AR76" s="16" t="s">
        <v>8641</v>
      </c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3:58" ht="17.25" customHeight="1">
      <c r="C77" s="1">
        <v>44043</v>
      </c>
      <c r="E77" s="2" t="s">
        <v>8400</v>
      </c>
      <c r="F77" s="15"/>
      <c r="G77" s="2" t="s">
        <v>8402</v>
      </c>
      <c r="H77" s="2" t="s">
        <v>8401</v>
      </c>
      <c r="I77" s="2"/>
      <c r="J77" s="2">
        <v>1</v>
      </c>
      <c r="K77" s="2"/>
      <c r="L77" s="3">
        <v>51.75</v>
      </c>
      <c r="M77" s="3">
        <v>5.17</v>
      </c>
      <c r="N77" s="3">
        <v>2.74</v>
      </c>
      <c r="O77" s="3">
        <v>3.62</v>
      </c>
      <c r="P77" s="3">
        <f>3.62-3.62</f>
        <v>0</v>
      </c>
      <c r="Q77" s="6">
        <f t="shared" si="152"/>
        <v>43.839999999999996</v>
      </c>
      <c r="R77" s="3"/>
      <c r="S77" s="3">
        <v>35.99</v>
      </c>
      <c r="T77" s="3">
        <v>2.52</v>
      </c>
      <c r="U77" s="3"/>
      <c r="V77" s="3"/>
      <c r="W77" s="3">
        <v>1.8</v>
      </c>
      <c r="X77" s="3">
        <f t="shared" ref="X77" si="159">+S77+T77++U77+V77-W77</f>
        <v>36.710000000000008</v>
      </c>
      <c r="Y77" s="6">
        <f t="shared" ref="Y77" si="160">+Q77-X77</f>
        <v>7.1299999999999883</v>
      </c>
      <c r="Z77" s="2"/>
      <c r="AA77" s="2"/>
      <c r="AB77" s="2"/>
      <c r="AC77" s="3"/>
      <c r="AD77" s="2"/>
      <c r="AE77" s="2"/>
      <c r="AF77" s="2"/>
      <c r="AG77" s="2"/>
      <c r="AH77" s="2" t="s">
        <v>8404</v>
      </c>
      <c r="AI77" s="2" t="s">
        <v>8403</v>
      </c>
      <c r="AJ77" s="2"/>
      <c r="AK77" s="2"/>
      <c r="AL77" s="2" t="s">
        <v>7873</v>
      </c>
      <c r="AM77" s="16" t="s">
        <v>8740</v>
      </c>
      <c r="AN77" s="2"/>
      <c r="AO77" s="2" t="s">
        <v>8702</v>
      </c>
      <c r="AP77" s="2" t="s">
        <v>5412</v>
      </c>
      <c r="AQ77" s="2" t="s">
        <v>8400</v>
      </c>
      <c r="AR77" s="16" t="s">
        <v>8056</v>
      </c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3:58" ht="17.25" customHeight="1">
      <c r="C78" s="1">
        <v>44043</v>
      </c>
      <c r="E78" s="2" t="s">
        <v>7763</v>
      </c>
      <c r="F78" s="15"/>
      <c r="G78" s="2" t="s">
        <v>8407</v>
      </c>
      <c r="H78" s="2" t="s">
        <v>8406</v>
      </c>
      <c r="I78" s="2"/>
      <c r="J78" s="2">
        <v>1</v>
      </c>
      <c r="K78" s="2"/>
      <c r="L78" s="3">
        <v>33.85</v>
      </c>
      <c r="M78" s="3">
        <v>3.38</v>
      </c>
      <c r="N78" s="3">
        <v>1.89</v>
      </c>
      <c r="O78" s="3">
        <v>2.37</v>
      </c>
      <c r="P78" s="3">
        <f>2.37-2.37</f>
        <v>0</v>
      </c>
      <c r="Q78" s="6">
        <f t="shared" si="152"/>
        <v>28.580000000000002</v>
      </c>
      <c r="R78" s="3"/>
      <c r="S78" s="3">
        <v>21.84</v>
      </c>
      <c r="T78" s="3">
        <v>1.53</v>
      </c>
      <c r="U78" s="3"/>
      <c r="V78" s="3"/>
      <c r="W78" s="3">
        <v>1.0900000000000001</v>
      </c>
      <c r="X78" s="3">
        <f t="shared" ref="X78" si="161">+S78+T78++U78+V78-W78</f>
        <v>22.28</v>
      </c>
      <c r="Y78" s="6">
        <f t="shared" ref="Y78" si="162">+Q78-X78</f>
        <v>6.3000000000000007</v>
      </c>
      <c r="Z78" s="2"/>
      <c r="AA78" s="2"/>
      <c r="AB78" s="2"/>
      <c r="AC78" s="3"/>
      <c r="AD78" s="2"/>
      <c r="AE78" s="2"/>
      <c r="AF78" s="2"/>
      <c r="AG78" s="2"/>
      <c r="AH78" s="2" t="s">
        <v>8583</v>
      </c>
      <c r="AI78" s="2" t="s">
        <v>8582</v>
      </c>
      <c r="AJ78" s="2"/>
      <c r="AK78" s="2"/>
      <c r="AL78" s="2" t="s">
        <v>7826</v>
      </c>
      <c r="AM78" s="2" t="s">
        <v>8633</v>
      </c>
      <c r="AN78" s="2"/>
      <c r="AO78" s="2" t="s">
        <v>8584</v>
      </c>
      <c r="AP78" s="2" t="s">
        <v>5412</v>
      </c>
      <c r="AQ78" s="2" t="s">
        <v>8187</v>
      </c>
      <c r="AR78" s="16" t="s">
        <v>8732</v>
      </c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3:58" ht="17.25" customHeight="1">
      <c r="C79" s="1">
        <v>44043</v>
      </c>
      <c r="E79" s="2" t="s">
        <v>8035</v>
      </c>
      <c r="F79" s="15"/>
      <c r="G79" s="2" t="s">
        <v>8369</v>
      </c>
      <c r="H79" s="2" t="s">
        <v>8381</v>
      </c>
      <c r="I79" s="2"/>
      <c r="J79" s="2">
        <v>0</v>
      </c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2">
        <f>SUM(Y74:Y79)</f>
        <v>65.719999999999985</v>
      </c>
      <c r="AA79" s="34">
        <f>SUM(J74:J79)</f>
        <v>6</v>
      </c>
      <c r="AB79" s="2"/>
      <c r="AC79" s="3"/>
      <c r="AD79" s="2"/>
      <c r="AE79" s="2"/>
      <c r="AF79" s="2"/>
      <c r="AG79" s="2"/>
      <c r="AH79" s="2" t="s">
        <v>8371</v>
      </c>
      <c r="AI79" s="2" t="s">
        <v>8370</v>
      </c>
      <c r="AJ79" s="2"/>
      <c r="AK79" s="2"/>
      <c r="AL79" s="2"/>
      <c r="AM79" s="2"/>
      <c r="AN79" s="2"/>
      <c r="AO79" s="5" t="s">
        <v>8204</v>
      </c>
      <c r="AP79" s="5" t="s">
        <v>8204</v>
      </c>
      <c r="AQ79" s="2" t="s">
        <v>8372</v>
      </c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3:58" ht="17.25" customHeight="1">
      <c r="C80" s="1">
        <v>44042</v>
      </c>
      <c r="E80" s="2" t="s">
        <v>8336</v>
      </c>
      <c r="F80" s="15"/>
      <c r="G80" s="2" t="s">
        <v>8347</v>
      </c>
      <c r="H80" s="2" t="s">
        <v>8346</v>
      </c>
      <c r="I80" s="2"/>
      <c r="J80" s="2">
        <v>1</v>
      </c>
      <c r="K80" s="2"/>
      <c r="L80" s="3">
        <v>33.75</v>
      </c>
      <c r="M80" s="3">
        <v>3.37</v>
      </c>
      <c r="N80" s="3">
        <v>1.91</v>
      </c>
      <c r="O80" s="3">
        <v>2.94</v>
      </c>
      <c r="P80" s="3">
        <f>2.94-2.94</f>
        <v>0</v>
      </c>
      <c r="Q80" s="6">
        <f t="shared" ref="Q80:Q81" si="163">+L80-M80-N80+P80</f>
        <v>28.47</v>
      </c>
      <c r="R80" s="3"/>
      <c r="S80" s="3">
        <v>17.98</v>
      </c>
      <c r="T80" s="3">
        <v>1.56</v>
      </c>
      <c r="U80" s="3"/>
      <c r="V80" s="3"/>
      <c r="W80" s="3"/>
      <c r="X80" s="2">
        <f t="shared" ref="X80" si="164">+S80+T80++U80+V80-W80</f>
        <v>19.54</v>
      </c>
      <c r="Y80" s="6">
        <f t="shared" ref="Y80" si="165">+Q80-X80</f>
        <v>8.93</v>
      </c>
      <c r="Z80" s="2"/>
      <c r="AA80" s="2"/>
      <c r="AB80" s="2"/>
      <c r="AC80" s="3"/>
      <c r="AD80" s="2"/>
      <c r="AE80" s="2"/>
      <c r="AF80" s="2"/>
      <c r="AG80" s="2"/>
      <c r="AH80" s="2" t="s">
        <v>8349</v>
      </c>
      <c r="AI80" s="2" t="s">
        <v>8348</v>
      </c>
      <c r="AJ80" s="2"/>
      <c r="AK80" s="2"/>
      <c r="AL80" s="2" t="s">
        <v>7873</v>
      </c>
      <c r="AM80" s="16" t="s">
        <v>8875</v>
      </c>
      <c r="AN80" s="2"/>
      <c r="AO80" s="2" t="s">
        <v>8700</v>
      </c>
      <c r="AP80" s="2" t="s">
        <v>8351</v>
      </c>
      <c r="AQ80" s="2" t="s">
        <v>8350</v>
      </c>
      <c r="AR80" s="16" t="s">
        <v>8701</v>
      </c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3:58" ht="17.25" customHeight="1">
      <c r="C81" s="1">
        <v>44042</v>
      </c>
      <c r="E81" s="2" t="s">
        <v>7739</v>
      </c>
      <c r="F81" s="15"/>
      <c r="G81" s="2" t="s">
        <v>8343</v>
      </c>
      <c r="H81" s="2" t="s">
        <v>8342</v>
      </c>
      <c r="I81" s="2"/>
      <c r="J81" s="2">
        <v>1</v>
      </c>
      <c r="K81" s="2"/>
      <c r="L81" s="3">
        <v>54.5</v>
      </c>
      <c r="M81" s="3">
        <v>5.45</v>
      </c>
      <c r="N81" s="3">
        <v>2.82</v>
      </c>
      <c r="O81" s="3">
        <v>2.73</v>
      </c>
      <c r="P81" s="3">
        <f>2.73-2.73</f>
        <v>0</v>
      </c>
      <c r="Q81" s="6">
        <f t="shared" si="163"/>
        <v>46.23</v>
      </c>
      <c r="R81" s="3"/>
      <c r="S81" s="3">
        <v>16.899999999999999</v>
      </c>
      <c r="T81" s="3">
        <v>0.85</v>
      </c>
      <c r="U81" s="3"/>
      <c r="V81" s="3"/>
      <c r="W81" s="3">
        <v>0.84</v>
      </c>
      <c r="X81" s="2">
        <f t="shared" ref="X81" si="166">+S81+T81++U81+V81-W81</f>
        <v>16.91</v>
      </c>
      <c r="Y81" s="6">
        <f t="shared" ref="Y81" si="167">+Q81-X81</f>
        <v>29.319999999999997</v>
      </c>
      <c r="Z81" s="2"/>
      <c r="AA81" s="2"/>
      <c r="AB81" s="2"/>
      <c r="AC81" s="3"/>
      <c r="AD81" s="2"/>
      <c r="AE81" s="2"/>
      <c r="AF81" s="2"/>
      <c r="AG81" s="2"/>
      <c r="AH81" s="2" t="s">
        <v>8345</v>
      </c>
      <c r="AI81" s="2" t="s">
        <v>8344</v>
      </c>
      <c r="AJ81" s="2"/>
      <c r="AK81" s="2"/>
      <c r="AL81" s="2" t="s">
        <v>7833</v>
      </c>
      <c r="AM81" s="16" t="s">
        <v>8788</v>
      </c>
      <c r="AN81" s="2"/>
      <c r="AO81" s="2" t="s">
        <v>8587</v>
      </c>
      <c r="AP81" s="2" t="s">
        <v>5412</v>
      </c>
      <c r="AQ81" s="2" t="s">
        <v>8203</v>
      </c>
      <c r="AR81" s="16" t="s">
        <v>8580</v>
      </c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3:58" ht="17.25" customHeight="1">
      <c r="C82" s="1">
        <v>44042</v>
      </c>
      <c r="E82" s="2" t="s">
        <v>7402</v>
      </c>
      <c r="F82" s="15"/>
      <c r="G82" s="2" t="s">
        <v>8338</v>
      </c>
      <c r="H82" s="2" t="s">
        <v>8337</v>
      </c>
      <c r="I82" s="2"/>
      <c r="J82" s="2">
        <v>1</v>
      </c>
      <c r="K82" s="2"/>
      <c r="L82" s="3">
        <v>58.5</v>
      </c>
      <c r="M82" s="3">
        <v>5.85</v>
      </c>
      <c r="N82" s="3">
        <v>3.11</v>
      </c>
      <c r="O82" s="3">
        <v>5.27</v>
      </c>
      <c r="P82" s="3">
        <f>5.27-5.27</f>
        <v>0</v>
      </c>
      <c r="Q82" s="6">
        <f t="shared" ref="Q82" si="168">+L82-M82-N82+P82</f>
        <v>49.54</v>
      </c>
      <c r="R82" s="3"/>
      <c r="S82" s="3">
        <v>30.97</v>
      </c>
      <c r="T82" s="3">
        <v>2.79</v>
      </c>
      <c r="U82" s="3"/>
      <c r="V82" s="3"/>
      <c r="W82" s="3">
        <v>1.55</v>
      </c>
      <c r="X82" s="2">
        <f t="shared" ref="X82" si="169">+S82+T82++U82+V82-W82</f>
        <v>32.21</v>
      </c>
      <c r="Y82" s="6">
        <f t="shared" ref="Y82" si="170">+Q82-X82</f>
        <v>17.329999999999998</v>
      </c>
      <c r="Z82" s="2"/>
      <c r="AA82" s="2"/>
      <c r="AB82" s="2"/>
      <c r="AC82" s="3"/>
      <c r="AD82" s="2"/>
      <c r="AE82" s="2"/>
      <c r="AF82" s="2"/>
      <c r="AG82" s="2"/>
      <c r="AH82" s="2" t="s">
        <v>8340</v>
      </c>
      <c r="AI82" s="2" t="s">
        <v>8339</v>
      </c>
      <c r="AJ82" s="2"/>
      <c r="AK82" s="2"/>
      <c r="AL82" s="2" t="s">
        <v>7826</v>
      </c>
      <c r="AM82" s="2" t="s">
        <v>8871</v>
      </c>
      <c r="AN82" s="2"/>
      <c r="AO82" s="2" t="s">
        <v>8689</v>
      </c>
      <c r="AP82" s="2" t="s">
        <v>5412</v>
      </c>
      <c r="AQ82" s="2" t="s">
        <v>8341</v>
      </c>
      <c r="AR82" s="16" t="s">
        <v>8790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3:58" ht="17.25" customHeight="1">
      <c r="C83" s="1">
        <v>44042</v>
      </c>
      <c r="E83" s="2" t="s">
        <v>8035</v>
      </c>
      <c r="F83" s="15"/>
      <c r="G83" s="2" t="s">
        <v>8642</v>
      </c>
      <c r="H83" s="2" t="s">
        <v>8333</v>
      </c>
      <c r="I83" s="2"/>
      <c r="J83" s="2">
        <v>1</v>
      </c>
      <c r="K83" s="2"/>
      <c r="L83" s="3">
        <v>33.85</v>
      </c>
      <c r="M83" s="3">
        <v>3.38</v>
      </c>
      <c r="N83" s="3">
        <v>1.89</v>
      </c>
      <c r="O83" s="3">
        <v>0</v>
      </c>
      <c r="P83" s="3">
        <v>2.37</v>
      </c>
      <c r="Q83" s="6">
        <f t="shared" ref="Q83" si="171">+L83-M83-N83+P83</f>
        <v>30.950000000000003</v>
      </c>
      <c r="R83" s="3"/>
      <c r="S83" s="3">
        <v>18.149999999999999</v>
      </c>
      <c r="T83" s="3">
        <v>0</v>
      </c>
      <c r="U83" s="3"/>
      <c r="V83" s="3"/>
      <c r="W83" s="3">
        <v>0.91</v>
      </c>
      <c r="X83" s="2">
        <f t="shared" ref="X83" si="172">+S83+T83++U83+V83-W83</f>
        <v>17.239999999999998</v>
      </c>
      <c r="Y83" s="6">
        <f t="shared" ref="Y83" si="173">+Q83-X83</f>
        <v>13.710000000000004</v>
      </c>
      <c r="Z83" s="2"/>
      <c r="AA83" s="2"/>
      <c r="AB83" s="2"/>
      <c r="AC83" s="3"/>
      <c r="AD83" s="2"/>
      <c r="AE83" s="2"/>
      <c r="AF83" s="2"/>
      <c r="AG83" s="2"/>
      <c r="AH83" s="2" t="s">
        <v>8335</v>
      </c>
      <c r="AI83" s="2" t="s">
        <v>8334</v>
      </c>
      <c r="AJ83" s="2"/>
      <c r="AK83" s="2"/>
      <c r="AL83" s="2" t="s">
        <v>7873</v>
      </c>
      <c r="AM83" s="16" t="s">
        <v>8737</v>
      </c>
      <c r="AN83" s="2"/>
      <c r="AO83" s="9" t="s">
        <v>8643</v>
      </c>
      <c r="AP83" s="2" t="s">
        <v>8644</v>
      </c>
      <c r="AQ83" s="2" t="s">
        <v>8040</v>
      </c>
      <c r="AR83" s="16" t="s">
        <v>8476</v>
      </c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3:58" ht="17.25" customHeight="1">
      <c r="C84" s="1">
        <v>44042</v>
      </c>
      <c r="E84" s="2" t="s">
        <v>8321</v>
      </c>
      <c r="F84" s="15"/>
      <c r="G84" s="2" t="s">
        <v>8325</v>
      </c>
      <c r="H84" s="2" t="s">
        <v>8686</v>
      </c>
      <c r="I84" s="2"/>
      <c r="J84" s="2">
        <v>1</v>
      </c>
      <c r="K84" s="2"/>
      <c r="L84" s="3">
        <v>72.5</v>
      </c>
      <c r="M84" s="3">
        <v>7.25</v>
      </c>
      <c r="N84" s="3">
        <v>3.49</v>
      </c>
      <c r="O84" s="3">
        <v>0</v>
      </c>
      <c r="P84" s="3">
        <f>4.53-4.53</f>
        <v>0</v>
      </c>
      <c r="Q84" s="6">
        <f t="shared" ref="Q84:Q85" si="174">+L84-M84-N84+P84</f>
        <v>61.76</v>
      </c>
      <c r="R84" s="3"/>
      <c r="S84" s="3">
        <v>45.99</v>
      </c>
      <c r="T84" s="3"/>
      <c r="U84" s="3">
        <v>4.99</v>
      </c>
      <c r="V84" s="3"/>
      <c r="W84" s="3">
        <v>4.59</v>
      </c>
      <c r="X84" s="2">
        <f t="shared" ref="X84:X85" si="175">+S84+T84++U84+V84-W84</f>
        <v>46.39</v>
      </c>
      <c r="Y84" s="6">
        <f t="shared" ref="Y84:Y85" si="176">+Q84-X84</f>
        <v>15.369999999999997</v>
      </c>
      <c r="Z84" s="2"/>
      <c r="AA84" s="2"/>
      <c r="AB84" s="2"/>
      <c r="AC84" s="3"/>
      <c r="AD84" s="2"/>
      <c r="AE84" s="2"/>
      <c r="AF84" s="2"/>
      <c r="AG84" s="2"/>
      <c r="AH84" s="2" t="s">
        <v>8327</v>
      </c>
      <c r="AI84" s="2" t="s">
        <v>8326</v>
      </c>
      <c r="AJ84" s="2"/>
      <c r="AK84" s="2"/>
      <c r="AL84" s="2" t="s">
        <v>7873</v>
      </c>
      <c r="AM84" s="16" t="s">
        <v>8799</v>
      </c>
      <c r="AN84" s="2"/>
      <c r="AO84" s="2" t="s">
        <v>8687</v>
      </c>
      <c r="AP84" s="2" t="s">
        <v>7954</v>
      </c>
      <c r="AQ84" s="2" t="s">
        <v>8328</v>
      </c>
      <c r="AR84" s="16" t="s">
        <v>8150</v>
      </c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3:58" ht="17.25" customHeight="1">
      <c r="C85" s="1">
        <v>44042</v>
      </c>
      <c r="E85" s="2" t="s">
        <v>7987</v>
      </c>
      <c r="F85" s="15"/>
      <c r="G85" s="2" t="s">
        <v>8330</v>
      </c>
      <c r="H85" s="2" t="s">
        <v>8329</v>
      </c>
      <c r="I85" s="2"/>
      <c r="J85" s="2">
        <v>1</v>
      </c>
      <c r="K85" s="2"/>
      <c r="L85" s="3">
        <v>23.95</v>
      </c>
      <c r="M85" s="3">
        <v>2.39</v>
      </c>
      <c r="N85" s="3">
        <v>1.43</v>
      </c>
      <c r="O85" s="3">
        <v>0</v>
      </c>
      <c r="P85" s="3">
        <v>1.68</v>
      </c>
      <c r="Q85" s="6">
        <f t="shared" si="174"/>
        <v>21.81</v>
      </c>
      <c r="R85" s="3"/>
      <c r="S85" s="3">
        <v>13.73</v>
      </c>
      <c r="T85" s="3">
        <v>0.89</v>
      </c>
      <c r="U85" s="3"/>
      <c r="V85" s="3"/>
      <c r="W85" s="3">
        <v>0.68</v>
      </c>
      <c r="X85" s="2">
        <f t="shared" si="175"/>
        <v>13.940000000000001</v>
      </c>
      <c r="Y85" s="6">
        <f t="shared" si="176"/>
        <v>7.8699999999999974</v>
      </c>
      <c r="Z85" s="2"/>
      <c r="AA85" s="2"/>
      <c r="AB85" s="2"/>
      <c r="AC85" s="3"/>
      <c r="AD85" s="2"/>
      <c r="AE85" s="2"/>
      <c r="AF85" s="2"/>
      <c r="AG85" s="2"/>
      <c r="AH85" s="2" t="s">
        <v>8332</v>
      </c>
      <c r="AI85" s="2" t="s">
        <v>8331</v>
      </c>
      <c r="AJ85" s="2"/>
      <c r="AK85" s="2"/>
      <c r="AL85" s="2" t="s">
        <v>7826</v>
      </c>
      <c r="AM85" s="2" t="s">
        <v>8872</v>
      </c>
      <c r="AN85" s="2"/>
      <c r="AO85" s="2" t="s">
        <v>8688</v>
      </c>
      <c r="AP85" s="2" t="s">
        <v>5412</v>
      </c>
      <c r="AQ85" s="2" t="s">
        <v>8000</v>
      </c>
      <c r="AR85" s="16" t="s">
        <v>8056</v>
      </c>
      <c r="AS85" s="16" t="s">
        <v>8873</v>
      </c>
      <c r="AT85" s="2" t="s">
        <v>8897</v>
      </c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3:58" ht="17.25" customHeight="1">
      <c r="C86" s="1">
        <v>44042</v>
      </c>
      <c r="E86" s="2" t="s">
        <v>8315</v>
      </c>
      <c r="F86" s="15"/>
      <c r="G86" s="2" t="s">
        <v>8316</v>
      </c>
      <c r="H86" s="2" t="s">
        <v>8314</v>
      </c>
      <c r="I86" s="2"/>
      <c r="J86" s="2">
        <v>1</v>
      </c>
      <c r="K86" s="2"/>
      <c r="L86" s="3">
        <v>72.5</v>
      </c>
      <c r="M86" s="3">
        <v>7.25</v>
      </c>
      <c r="N86" s="3">
        <v>3.69</v>
      </c>
      <c r="O86" s="3">
        <v>4.53</v>
      </c>
      <c r="P86" s="3">
        <f>4.53-4.53</f>
        <v>0</v>
      </c>
      <c r="Q86" s="6">
        <f t="shared" ref="Q86:Q87" si="177">+L86-M86-N86+P86</f>
        <v>61.56</v>
      </c>
      <c r="R86" s="3"/>
      <c r="S86" s="3">
        <v>45.99</v>
      </c>
      <c r="T86" s="3"/>
      <c r="U86" s="3">
        <v>4.99</v>
      </c>
      <c r="V86" s="3"/>
      <c r="W86" s="3">
        <v>4.59</v>
      </c>
      <c r="X86" s="2">
        <f t="shared" ref="X86" si="178">+S86+T86++U86+V86-W86</f>
        <v>46.39</v>
      </c>
      <c r="Y86" s="6">
        <f t="shared" ref="Y86" si="179">+Q86-X86</f>
        <v>15.170000000000002</v>
      </c>
      <c r="Z86" s="2"/>
      <c r="AA86" s="2"/>
      <c r="AB86" s="2"/>
      <c r="AC86" s="3"/>
      <c r="AD86" s="2"/>
      <c r="AE86" s="2"/>
      <c r="AF86" s="2"/>
      <c r="AG86" s="2"/>
      <c r="AH86" s="2" t="s">
        <v>8318</v>
      </c>
      <c r="AI86" s="2" t="s">
        <v>8317</v>
      </c>
      <c r="AJ86" s="2"/>
      <c r="AK86" s="2"/>
      <c r="AL86" s="2" t="s">
        <v>7833</v>
      </c>
      <c r="AM86" s="2" t="s">
        <v>8798</v>
      </c>
      <c r="AN86" s="2"/>
      <c r="AO86" s="2" t="s">
        <v>8685</v>
      </c>
      <c r="AP86" s="2" t="s">
        <v>7954</v>
      </c>
      <c r="AQ86" s="2" t="s">
        <v>8319</v>
      </c>
      <c r="AR86" s="16" t="s">
        <v>8476</v>
      </c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3:58" ht="17.25" customHeight="1">
      <c r="C87" s="1">
        <v>44042</v>
      </c>
      <c r="E87" s="2" t="s">
        <v>8309</v>
      </c>
      <c r="F87" s="15"/>
      <c r="G87" s="2" t="s">
        <v>8320</v>
      </c>
      <c r="H87" s="2" t="s">
        <v>8462</v>
      </c>
      <c r="I87" s="2"/>
      <c r="J87" s="2">
        <v>1</v>
      </c>
      <c r="K87" s="2"/>
      <c r="L87" s="3">
        <v>73.95</v>
      </c>
      <c r="M87" s="3">
        <v>7.39</v>
      </c>
      <c r="N87" s="3">
        <v>3.55</v>
      </c>
      <c r="O87" s="3"/>
      <c r="P87" s="3">
        <v>17.86</v>
      </c>
      <c r="Q87" s="6">
        <f t="shared" si="177"/>
        <v>80.87</v>
      </c>
      <c r="R87" s="3"/>
      <c r="S87" s="3">
        <v>64.989999999999995</v>
      </c>
      <c r="T87" s="3"/>
      <c r="U87" s="3">
        <v>12.41</v>
      </c>
      <c r="V87" s="3"/>
      <c r="W87" s="3">
        <v>3.25</v>
      </c>
      <c r="X87" s="2">
        <f t="shared" ref="X87" si="180">+S87+T87++U87+V87-W87</f>
        <v>74.149999999999991</v>
      </c>
      <c r="Y87" s="6">
        <f t="shared" ref="Y87" si="181">+Q87-X87</f>
        <v>6.7200000000000131</v>
      </c>
      <c r="Z87" s="2"/>
      <c r="AA87" s="2"/>
      <c r="AB87" s="2"/>
      <c r="AC87" s="3"/>
      <c r="AD87" s="2"/>
      <c r="AE87" s="2"/>
      <c r="AF87" s="2"/>
      <c r="AG87" s="2"/>
      <c r="AH87" s="2" t="s">
        <v>8323</v>
      </c>
      <c r="AI87" s="2" t="s">
        <v>8322</v>
      </c>
      <c r="AJ87" s="2"/>
      <c r="AK87" s="2"/>
      <c r="AL87" s="2" t="s">
        <v>7873</v>
      </c>
      <c r="AM87" s="16" t="s">
        <v>8465</v>
      </c>
      <c r="AN87" s="2"/>
      <c r="AO87" s="2" t="s">
        <v>8463</v>
      </c>
      <c r="AP87" s="2" t="s">
        <v>5412</v>
      </c>
      <c r="AQ87" s="2" t="s">
        <v>8324</v>
      </c>
      <c r="AR87" s="16" t="s">
        <v>8464</v>
      </c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3:58" ht="17.25" customHeight="1">
      <c r="C88" s="1">
        <v>44042</v>
      </c>
      <c r="E88" s="2" t="s">
        <v>8224</v>
      </c>
      <c r="F88" s="15"/>
      <c r="G88" s="2" t="s">
        <v>8303</v>
      </c>
      <c r="H88" s="2" t="s">
        <v>8302</v>
      </c>
      <c r="I88" s="2"/>
      <c r="J88" s="2">
        <v>1</v>
      </c>
      <c r="K88" s="2"/>
      <c r="L88" s="3">
        <v>51.5</v>
      </c>
      <c r="M88" s="3">
        <v>5.15</v>
      </c>
      <c r="N88" s="3">
        <v>2.71</v>
      </c>
      <c r="O88" s="3">
        <v>3.22</v>
      </c>
      <c r="P88" s="3">
        <f>3.22-3.22</f>
        <v>0</v>
      </c>
      <c r="Q88" s="6">
        <f t="shared" ref="Q88" si="182">+L88-M88-N88+P88</f>
        <v>43.64</v>
      </c>
      <c r="R88" s="3"/>
      <c r="S88" s="3">
        <v>35.99</v>
      </c>
      <c r="T88" s="3">
        <v>2.25</v>
      </c>
      <c r="U88" s="3"/>
      <c r="V88" s="3"/>
      <c r="W88" s="3">
        <v>1.8</v>
      </c>
      <c r="X88" s="2">
        <f t="shared" ref="X88" si="183">+S88+T88++U88+V88-W88</f>
        <v>36.440000000000005</v>
      </c>
      <c r="Y88" s="6">
        <f t="shared" ref="Y88" si="184">+Q88-X88</f>
        <v>7.1999999999999957</v>
      </c>
      <c r="Z88" s="6">
        <f>SUM(Y80:Y88)</f>
        <v>121.62</v>
      </c>
      <c r="AA88" s="34">
        <f>SUM(J80:J88)</f>
        <v>9</v>
      </c>
      <c r="AB88" s="2"/>
      <c r="AC88" s="3"/>
      <c r="AD88" s="2"/>
      <c r="AE88" s="2"/>
      <c r="AF88" s="2"/>
      <c r="AG88" s="2"/>
      <c r="AH88" s="2" t="s">
        <v>8305</v>
      </c>
      <c r="AI88" s="2" t="s">
        <v>8304</v>
      </c>
      <c r="AJ88" s="2"/>
      <c r="AK88" s="2"/>
      <c r="AL88" s="2" t="s">
        <v>7873</v>
      </c>
      <c r="AM88" s="16" t="s">
        <v>8736</v>
      </c>
      <c r="AN88" s="2"/>
      <c r="AO88" s="2" t="s">
        <v>8678</v>
      </c>
      <c r="AP88" s="2" t="s">
        <v>5412</v>
      </c>
      <c r="AQ88" s="2" t="s">
        <v>8241</v>
      </c>
      <c r="AR88" s="16" t="s">
        <v>8150</v>
      </c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3:58" ht="17.25" customHeight="1">
      <c r="C89" s="1">
        <v>44041</v>
      </c>
      <c r="E89" s="2" t="s">
        <v>7917</v>
      </c>
      <c r="F89" s="15"/>
      <c r="G89" s="2" t="s">
        <v>8299</v>
      </c>
      <c r="H89" s="2" t="s">
        <v>8298</v>
      </c>
      <c r="I89" s="2"/>
      <c r="J89" s="2">
        <v>1</v>
      </c>
      <c r="K89" s="2"/>
      <c r="L89" s="3">
        <v>23.5</v>
      </c>
      <c r="M89" s="3">
        <v>2.35</v>
      </c>
      <c r="N89" s="3">
        <v>1.4</v>
      </c>
      <c r="O89" s="3">
        <v>1.41</v>
      </c>
      <c r="P89" s="3">
        <f>1.41-1.41</f>
        <v>0</v>
      </c>
      <c r="Q89" s="6">
        <f t="shared" ref="Q89" si="185">+L89-M89-N89+P89</f>
        <v>19.75</v>
      </c>
      <c r="R89" s="3"/>
      <c r="S89" s="3">
        <v>12.96</v>
      </c>
      <c r="T89" s="3">
        <v>0.78</v>
      </c>
      <c r="U89" s="3"/>
      <c r="V89" s="3"/>
      <c r="W89" s="3">
        <v>0.65</v>
      </c>
      <c r="X89" s="2">
        <f t="shared" ref="X89" si="186">+S89+T89++U89+V89-W89</f>
        <v>13.09</v>
      </c>
      <c r="Y89" s="6">
        <f t="shared" ref="Y89" si="187">+Q89-X89</f>
        <v>6.66</v>
      </c>
      <c r="Z89" s="2"/>
      <c r="AA89" s="2"/>
      <c r="AB89" s="2"/>
      <c r="AC89" s="3"/>
      <c r="AD89" s="2"/>
      <c r="AE89" s="2"/>
      <c r="AF89" s="2"/>
      <c r="AG89" s="2"/>
      <c r="AH89" s="2" t="s">
        <v>8301</v>
      </c>
      <c r="AI89" s="2" t="s">
        <v>8300</v>
      </c>
      <c r="AJ89" s="2"/>
      <c r="AK89" s="2"/>
      <c r="AL89" s="2" t="s">
        <v>7873</v>
      </c>
      <c r="AM89" s="16" t="s">
        <v>8797</v>
      </c>
      <c r="AN89" s="2"/>
      <c r="AO89" s="2" t="s">
        <v>8480</v>
      </c>
      <c r="AP89" s="2" t="s">
        <v>5412</v>
      </c>
      <c r="AQ89" s="2" t="s">
        <v>8147</v>
      </c>
      <c r="AR89" s="16" t="s">
        <v>8195</v>
      </c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3:58" ht="17.25" customHeight="1">
      <c r="C90" s="1">
        <v>44041</v>
      </c>
      <c r="E90" s="2" t="s">
        <v>8293</v>
      </c>
      <c r="F90" s="15"/>
      <c r="G90" s="2" t="s">
        <v>8289</v>
      </c>
      <c r="H90" s="2" t="s">
        <v>8288</v>
      </c>
      <c r="I90" s="2"/>
      <c r="J90" s="2">
        <v>1</v>
      </c>
      <c r="K90" s="2"/>
      <c r="L90" s="3">
        <v>41.5</v>
      </c>
      <c r="M90" s="3">
        <v>4.1500000000000004</v>
      </c>
      <c r="N90" s="3">
        <v>2.2400000000000002</v>
      </c>
      <c r="O90" s="3">
        <v>2.4900000000000002</v>
      </c>
      <c r="P90" s="3">
        <f>2.49-2.49</f>
        <v>0</v>
      </c>
      <c r="Q90" s="6">
        <f t="shared" ref="Q90:Q91" si="188">+L90-M90-N90+P90</f>
        <v>35.11</v>
      </c>
      <c r="R90" s="3"/>
      <c r="S90" s="3">
        <v>26.99</v>
      </c>
      <c r="T90" s="3">
        <v>1.62</v>
      </c>
      <c r="U90" s="3"/>
      <c r="V90" s="3"/>
      <c r="W90" s="3">
        <v>1.35</v>
      </c>
      <c r="X90" s="2">
        <f t="shared" ref="X90:X91" si="189">+S90+T90++U90+V90-W90</f>
        <v>27.259999999999998</v>
      </c>
      <c r="Y90" s="6">
        <f t="shared" ref="Y90:Y91" si="190">+Q90-X90</f>
        <v>7.8500000000000014</v>
      </c>
      <c r="Z90" s="2"/>
      <c r="AA90" s="2"/>
      <c r="AB90" s="2"/>
      <c r="AC90" s="3"/>
      <c r="AD90" s="2"/>
      <c r="AE90" s="2"/>
      <c r="AF90" s="2"/>
      <c r="AG90" s="2"/>
      <c r="AH90" s="2" t="s">
        <v>8291</v>
      </c>
      <c r="AI90" s="2" t="s">
        <v>8290</v>
      </c>
      <c r="AJ90" s="2"/>
      <c r="AK90" s="2"/>
      <c r="AL90" s="2" t="s">
        <v>7873</v>
      </c>
      <c r="AM90" s="16" t="s">
        <v>8741</v>
      </c>
      <c r="AN90" s="2"/>
      <c r="AO90" s="2" t="s">
        <v>8684</v>
      </c>
      <c r="AP90" s="2" t="s">
        <v>5412</v>
      </c>
      <c r="AQ90" s="2" t="s">
        <v>8292</v>
      </c>
      <c r="AR90" s="16" t="s">
        <v>8056</v>
      </c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3:58" ht="17.25" customHeight="1">
      <c r="C91" s="1">
        <v>44041</v>
      </c>
      <c r="E91" s="2" t="s">
        <v>7894</v>
      </c>
      <c r="F91" s="15"/>
      <c r="G91" s="2" t="s">
        <v>8295</v>
      </c>
      <c r="H91" s="2" t="s">
        <v>8294</v>
      </c>
      <c r="I91" s="2"/>
      <c r="J91" s="2">
        <v>1</v>
      </c>
      <c r="K91" s="2"/>
      <c r="L91" s="3">
        <v>35.700000000000003</v>
      </c>
      <c r="M91" s="3">
        <v>3.57</v>
      </c>
      <c r="N91" s="3">
        <v>2.02</v>
      </c>
      <c r="O91" s="3">
        <v>3.39</v>
      </c>
      <c r="P91" s="3">
        <f>3.39-3.39</f>
        <v>0</v>
      </c>
      <c r="Q91" s="6">
        <f t="shared" si="188"/>
        <v>30.110000000000003</v>
      </c>
      <c r="R91" s="3"/>
      <c r="S91" s="3">
        <v>16.989999999999998</v>
      </c>
      <c r="T91" s="3">
        <v>2.09</v>
      </c>
      <c r="U91" s="3">
        <v>5</v>
      </c>
      <c r="V91" s="3"/>
      <c r="W91" s="3">
        <v>0</v>
      </c>
      <c r="X91" s="2">
        <f t="shared" si="189"/>
        <v>24.08</v>
      </c>
      <c r="Y91" s="6">
        <f t="shared" si="190"/>
        <v>6.0300000000000047</v>
      </c>
      <c r="Z91" s="2"/>
      <c r="AA91" s="2"/>
      <c r="AB91" s="2"/>
      <c r="AC91" s="3"/>
      <c r="AD91" s="2"/>
      <c r="AE91" s="2"/>
      <c r="AF91" s="2"/>
      <c r="AG91" s="2"/>
      <c r="AH91" s="2" t="s">
        <v>8297</v>
      </c>
      <c r="AI91" s="2" t="s">
        <v>8296</v>
      </c>
      <c r="AJ91" s="2"/>
      <c r="AK91" s="2"/>
      <c r="AL91" s="2" t="s">
        <v>7833</v>
      </c>
      <c r="AM91" s="16" t="s">
        <v>8589</v>
      </c>
      <c r="AN91" s="2"/>
      <c r="AO91" s="2" t="s">
        <v>8416</v>
      </c>
      <c r="AP91" s="2" t="s">
        <v>8081</v>
      </c>
      <c r="AQ91" s="2" t="s">
        <v>8229</v>
      </c>
      <c r="AR91" s="16" t="s">
        <v>8530</v>
      </c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3:58" ht="17.25" customHeight="1">
      <c r="C92" s="1">
        <v>44041</v>
      </c>
      <c r="E92" s="2" t="s">
        <v>8251</v>
      </c>
      <c r="F92" s="15"/>
      <c r="G92" s="2" t="s">
        <v>8254</v>
      </c>
      <c r="H92" s="2" t="s">
        <v>8253</v>
      </c>
      <c r="I92" s="2"/>
      <c r="J92" s="2">
        <v>1</v>
      </c>
      <c r="K92" s="2"/>
      <c r="L92" s="3">
        <v>17.5</v>
      </c>
      <c r="M92" s="3">
        <v>1.75</v>
      </c>
      <c r="N92" s="3">
        <v>1.1200000000000001</v>
      </c>
      <c r="O92" s="3">
        <v>1.05</v>
      </c>
      <c r="P92" s="3">
        <f>1.05-1.05</f>
        <v>0</v>
      </c>
      <c r="Q92" s="6">
        <f t="shared" ref="Q92:Q93" si="191">+L92-M92-N92+P92</f>
        <v>14.629999999999999</v>
      </c>
      <c r="R92" s="3"/>
      <c r="S92" s="3">
        <v>7.99</v>
      </c>
      <c r="T92" s="3">
        <v>0.48</v>
      </c>
      <c r="U92" s="3"/>
      <c r="V92" s="3"/>
      <c r="W92" s="3">
        <v>0.4</v>
      </c>
      <c r="X92" s="2">
        <f t="shared" ref="X92" si="192">+S92+T92++U92+V92-W92</f>
        <v>8.07</v>
      </c>
      <c r="Y92" s="6">
        <f t="shared" ref="Y92" si="193">+Q92-X92</f>
        <v>6.5599999999999987</v>
      </c>
      <c r="Z92" s="6">
        <f>SUM(Y89:Y92)</f>
        <v>27.100000000000005</v>
      </c>
      <c r="AA92" s="34">
        <f>SUM(J89:J92)</f>
        <v>4</v>
      </c>
      <c r="AB92" s="2"/>
      <c r="AC92" s="3"/>
      <c r="AD92" s="2"/>
      <c r="AE92" s="2"/>
      <c r="AF92" s="2"/>
      <c r="AG92" s="2"/>
      <c r="AH92" s="2" t="s">
        <v>8256</v>
      </c>
      <c r="AI92" s="2" t="s">
        <v>8255</v>
      </c>
      <c r="AJ92" s="2"/>
      <c r="AK92" s="2"/>
      <c r="AL92" s="2" t="s">
        <v>7826</v>
      </c>
      <c r="AM92" s="2" t="s">
        <v>8730</v>
      </c>
      <c r="AN92" s="2"/>
      <c r="AO92" s="2" t="s">
        <v>8577</v>
      </c>
      <c r="AP92" s="2" t="s">
        <v>5412</v>
      </c>
      <c r="AQ92" s="2" t="s">
        <v>8257</v>
      </c>
      <c r="AR92" s="16" t="s">
        <v>8739</v>
      </c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3:58" ht="17.25" customHeight="1">
      <c r="C93" s="1">
        <v>44040</v>
      </c>
      <c r="E93" s="2" t="s">
        <v>7917</v>
      </c>
      <c r="F93" s="15"/>
      <c r="G93" s="2" t="s">
        <v>8248</v>
      </c>
      <c r="H93" s="2" t="s">
        <v>8247</v>
      </c>
      <c r="I93" s="2"/>
      <c r="J93" s="2">
        <v>1</v>
      </c>
      <c r="K93" s="2"/>
      <c r="L93" s="3">
        <v>23.5</v>
      </c>
      <c r="M93" s="3">
        <v>2.35</v>
      </c>
      <c r="N93" s="3">
        <v>1.41</v>
      </c>
      <c r="O93" s="3">
        <v>1.65</v>
      </c>
      <c r="P93" s="3">
        <f>1.65-1.65</f>
        <v>0</v>
      </c>
      <c r="Q93" s="6">
        <f t="shared" si="191"/>
        <v>19.739999999999998</v>
      </c>
      <c r="R93" s="3"/>
      <c r="S93" s="3">
        <v>12.96</v>
      </c>
      <c r="T93" s="3">
        <v>0.91</v>
      </c>
      <c r="U93" s="3"/>
      <c r="V93" s="3"/>
      <c r="W93" s="3">
        <v>0.65</v>
      </c>
      <c r="X93" s="2">
        <f t="shared" ref="X93" si="194">+S93+T93++U93+V93-W93</f>
        <v>13.22</v>
      </c>
      <c r="Y93" s="6">
        <f t="shared" ref="Y93" si="195">+Q93-X93</f>
        <v>6.5199999999999978</v>
      </c>
      <c r="Z93" s="2"/>
      <c r="AA93" s="2"/>
      <c r="AB93" s="2"/>
      <c r="AC93" s="3"/>
      <c r="AD93" s="2"/>
      <c r="AE93" s="2"/>
      <c r="AF93" s="2"/>
      <c r="AG93" s="2"/>
      <c r="AH93" s="2" t="s">
        <v>8250</v>
      </c>
      <c r="AI93" s="2" t="s">
        <v>8249</v>
      </c>
      <c r="AJ93" s="2"/>
      <c r="AK93" s="2"/>
      <c r="AL93" s="2" t="s">
        <v>7826</v>
      </c>
      <c r="AM93" s="2" t="s">
        <v>8509</v>
      </c>
      <c r="AN93" s="2"/>
      <c r="AO93" s="2" t="s">
        <v>8479</v>
      </c>
      <c r="AP93" s="2" t="s">
        <v>5412</v>
      </c>
      <c r="AQ93" s="2" t="s">
        <v>8147</v>
      </c>
      <c r="AR93" s="16" t="s">
        <v>8592</v>
      </c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3:58" ht="17.25" customHeight="1">
      <c r="C94" s="1">
        <v>44040</v>
      </c>
      <c r="E94" s="2" t="s">
        <v>8232</v>
      </c>
      <c r="F94" s="15"/>
      <c r="G94" s="2" t="s">
        <v>8231</v>
      </c>
      <c r="H94" s="2" t="s">
        <v>8230</v>
      </c>
      <c r="I94" s="2"/>
      <c r="J94" s="2">
        <v>1</v>
      </c>
      <c r="K94" s="2"/>
      <c r="L94" s="3">
        <v>29.95</v>
      </c>
      <c r="M94" s="3">
        <v>2.99</v>
      </c>
      <c r="N94" s="3">
        <v>1.73</v>
      </c>
      <c r="O94" s="3">
        <v>2.4700000000000002</v>
      </c>
      <c r="P94" s="3">
        <f>2.47-2.47</f>
        <v>0</v>
      </c>
      <c r="Q94" s="6">
        <f t="shared" ref="Q94" si="196">+L94-M94-N94+P94</f>
        <v>25.23</v>
      </c>
      <c r="R94" s="3"/>
      <c r="S94" s="3">
        <v>19.29</v>
      </c>
      <c r="T94" s="3">
        <v>1.59</v>
      </c>
      <c r="U94" s="3">
        <v>0</v>
      </c>
      <c r="V94" s="3"/>
      <c r="W94" s="3">
        <v>0</v>
      </c>
      <c r="X94" s="2">
        <f t="shared" ref="X94" si="197">+S94+T94++U94+V94-W94</f>
        <v>20.88</v>
      </c>
      <c r="Y94" s="6">
        <f t="shared" ref="Y94" si="198">+Q94-X94</f>
        <v>4.3500000000000014</v>
      </c>
      <c r="Z94" s="2"/>
      <c r="AA94" s="2"/>
      <c r="AB94" s="2"/>
      <c r="AC94" s="3"/>
      <c r="AD94" s="2"/>
      <c r="AE94" s="2"/>
      <c r="AF94" s="2"/>
      <c r="AG94" s="2"/>
      <c r="AH94" s="2" t="s">
        <v>8234</v>
      </c>
      <c r="AI94" s="2" t="s">
        <v>8233</v>
      </c>
      <c r="AJ94" s="2"/>
      <c r="AK94" s="2"/>
      <c r="AL94" s="2" t="s">
        <v>7826</v>
      </c>
      <c r="AM94" s="2" t="s">
        <v>8742</v>
      </c>
      <c r="AN94" s="2"/>
      <c r="AO94" s="2" t="s">
        <v>8679</v>
      </c>
      <c r="AP94" s="2" t="s">
        <v>8235</v>
      </c>
      <c r="AQ94" s="2" t="s">
        <v>8236</v>
      </c>
      <c r="AR94" s="16" t="s">
        <v>8739</v>
      </c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3:58" ht="17.25" customHeight="1">
      <c r="C95" s="1">
        <v>44040</v>
      </c>
      <c r="E95" s="2" t="s">
        <v>7894</v>
      </c>
      <c r="F95" s="15"/>
      <c r="G95" s="2" t="s">
        <v>8226</v>
      </c>
      <c r="H95" s="2" t="s">
        <v>8225</v>
      </c>
      <c r="I95" s="2"/>
      <c r="J95" s="2">
        <v>1</v>
      </c>
      <c r="K95" s="2"/>
      <c r="L95" s="3">
        <v>35.700000000000003</v>
      </c>
      <c r="M95" s="3">
        <v>3.57</v>
      </c>
      <c r="N95" s="3">
        <v>1.98</v>
      </c>
      <c r="O95" s="3">
        <v>2.37</v>
      </c>
      <c r="P95" s="3">
        <f>2.37-2.37</f>
        <v>0</v>
      </c>
      <c r="Q95" s="6">
        <f t="shared" ref="Q95:Q97" si="199">+L95-M95-N95+P95</f>
        <v>30.150000000000002</v>
      </c>
      <c r="R95" s="3"/>
      <c r="S95" s="3">
        <v>16.989999999999998</v>
      </c>
      <c r="T95" s="3">
        <v>1.46</v>
      </c>
      <c r="U95" s="3">
        <v>5</v>
      </c>
      <c r="V95" s="3"/>
      <c r="W95" s="3">
        <v>0</v>
      </c>
      <c r="X95" s="2">
        <f t="shared" ref="X95" si="200">+S95+T95++U95+V95-W95</f>
        <v>23.45</v>
      </c>
      <c r="Y95" s="6">
        <f t="shared" ref="Y95" si="201">+Q95-X95</f>
        <v>6.7000000000000028</v>
      </c>
      <c r="Z95" s="2"/>
      <c r="AA95" s="2"/>
      <c r="AB95" s="2"/>
      <c r="AC95" s="3"/>
      <c r="AD95" s="2"/>
      <c r="AE95" s="2"/>
      <c r="AF95" s="2"/>
      <c r="AG95" s="2"/>
      <c r="AH95" s="2" t="s">
        <v>8228</v>
      </c>
      <c r="AI95" s="2" t="s">
        <v>8227</v>
      </c>
      <c r="AJ95" s="2"/>
      <c r="AK95" s="2"/>
      <c r="AL95" s="2" t="s">
        <v>7833</v>
      </c>
      <c r="AM95" s="2" t="s">
        <v>8590</v>
      </c>
      <c r="AN95" s="2"/>
      <c r="AO95" s="2" t="s">
        <v>8415</v>
      </c>
      <c r="AP95" s="2" t="s">
        <v>8081</v>
      </c>
      <c r="AQ95" s="2" t="s">
        <v>8229</v>
      </c>
      <c r="AR95" s="16" t="s">
        <v>8380</v>
      </c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3:58" ht="17.25" customHeight="1">
      <c r="C96" s="1">
        <v>44040</v>
      </c>
      <c r="E96" s="2" t="s">
        <v>8224</v>
      </c>
      <c r="F96" s="15"/>
      <c r="G96" s="2" t="s">
        <v>8238</v>
      </c>
      <c r="H96" s="2" t="s">
        <v>8237</v>
      </c>
      <c r="I96" s="2"/>
      <c r="J96" s="2">
        <v>1</v>
      </c>
      <c r="K96" s="2"/>
      <c r="L96" s="3">
        <v>51.5</v>
      </c>
      <c r="M96" s="3">
        <v>5.15</v>
      </c>
      <c r="N96" s="3">
        <v>2.72</v>
      </c>
      <c r="O96" s="3">
        <v>3.41</v>
      </c>
      <c r="P96" s="3">
        <f>3.41-3.41</f>
        <v>0</v>
      </c>
      <c r="Q96" s="6">
        <f t="shared" si="199"/>
        <v>43.63</v>
      </c>
      <c r="R96" s="3"/>
      <c r="S96" s="3">
        <v>35.99</v>
      </c>
      <c r="T96" s="3">
        <v>2.38</v>
      </c>
      <c r="U96" s="3"/>
      <c r="V96" s="3"/>
      <c r="W96" s="3">
        <v>1.8</v>
      </c>
      <c r="X96" s="2">
        <f t="shared" ref="X96:X97" si="202">+S96+T96++U96+V96-W96</f>
        <v>36.570000000000007</v>
      </c>
      <c r="Y96" s="6">
        <f t="shared" ref="Y96:Y97" si="203">+Q96-X96</f>
        <v>7.0599999999999952</v>
      </c>
      <c r="Z96" s="2"/>
      <c r="AA96" s="2"/>
      <c r="AB96" s="2"/>
      <c r="AC96" s="3"/>
      <c r="AD96" s="2"/>
      <c r="AE96" s="2"/>
      <c r="AF96" s="2"/>
      <c r="AG96" s="2"/>
      <c r="AH96" s="2" t="s">
        <v>8240</v>
      </c>
      <c r="AI96" s="2" t="s">
        <v>8239</v>
      </c>
      <c r="AJ96" s="2"/>
      <c r="AK96" s="2"/>
      <c r="AL96" s="2" t="s">
        <v>7826</v>
      </c>
      <c r="AM96" s="2" t="s">
        <v>8782</v>
      </c>
      <c r="AN96" s="2"/>
      <c r="AO96" s="2" t="s">
        <v>8676</v>
      </c>
      <c r="AP96" s="2" t="s">
        <v>5412</v>
      </c>
      <c r="AQ96" s="2" t="s">
        <v>8241</v>
      </c>
      <c r="AR96" s="16" t="s">
        <v>8877</v>
      </c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2:58" ht="17.25" customHeight="1">
      <c r="C97" s="1">
        <v>44040</v>
      </c>
      <c r="E97" s="2" t="s">
        <v>8217</v>
      </c>
      <c r="F97" s="15"/>
      <c r="G97" s="2" t="s">
        <v>8243</v>
      </c>
      <c r="H97" s="2" t="s">
        <v>8242</v>
      </c>
      <c r="I97" s="2"/>
      <c r="J97" s="2">
        <v>1</v>
      </c>
      <c r="K97" s="2"/>
      <c r="L97" s="3">
        <v>59.5</v>
      </c>
      <c r="M97" s="3">
        <v>5.95</v>
      </c>
      <c r="N97" s="3">
        <v>3.11</v>
      </c>
      <c r="O97" s="3">
        <v>4.3099999999999996</v>
      </c>
      <c r="P97" s="3">
        <f>4.31-4.31</f>
        <v>0</v>
      </c>
      <c r="Q97" s="6">
        <f t="shared" si="199"/>
        <v>50.44</v>
      </c>
      <c r="R97" s="3"/>
      <c r="S97" s="3">
        <v>18.989999999999998</v>
      </c>
      <c r="T97" s="3">
        <v>1.38</v>
      </c>
      <c r="U97" s="3"/>
      <c r="V97" s="3"/>
      <c r="W97" s="3">
        <v>0.95</v>
      </c>
      <c r="X97" s="2">
        <f t="shared" si="202"/>
        <v>19.419999999999998</v>
      </c>
      <c r="Y97" s="6">
        <f t="shared" si="203"/>
        <v>31.02</v>
      </c>
      <c r="Z97" s="2"/>
      <c r="AA97" s="2"/>
      <c r="AB97" s="2"/>
      <c r="AC97" s="3"/>
      <c r="AD97" s="2"/>
      <c r="AE97" s="2"/>
      <c r="AF97" s="2"/>
      <c r="AG97" s="2"/>
      <c r="AH97" s="2" t="s">
        <v>8245</v>
      </c>
      <c r="AI97" s="2" t="s">
        <v>8244</v>
      </c>
      <c r="AJ97" s="2"/>
      <c r="AK97" s="2"/>
      <c r="AL97" s="2" t="s">
        <v>7873</v>
      </c>
      <c r="AM97" s="16" t="s">
        <v>8791</v>
      </c>
      <c r="AN97" s="2"/>
      <c r="AO97" s="2" t="s">
        <v>8671</v>
      </c>
      <c r="AP97" s="2" t="s">
        <v>5412</v>
      </c>
      <c r="AQ97" s="2" t="s">
        <v>8246</v>
      </c>
      <c r="AR97" s="16" t="s">
        <v>8530</v>
      </c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spans="2:58" ht="17.25" customHeight="1">
      <c r="C98" s="1">
        <v>44040</v>
      </c>
      <c r="E98" s="2" t="s">
        <v>7739</v>
      </c>
      <c r="F98" s="15"/>
      <c r="G98" s="2" t="s">
        <v>8200</v>
      </c>
      <c r="H98" s="2" t="s">
        <v>8199</v>
      </c>
      <c r="I98" s="2"/>
      <c r="J98" s="2">
        <v>1</v>
      </c>
      <c r="K98" s="2" t="s">
        <v>7932</v>
      </c>
      <c r="L98" s="3">
        <v>57.5</v>
      </c>
      <c r="M98" s="3">
        <v>5.75</v>
      </c>
      <c r="N98" s="3">
        <v>2.98</v>
      </c>
      <c r="O98" s="3">
        <v>3.51</v>
      </c>
      <c r="P98" s="3">
        <f>3.51-3.51</f>
        <v>0</v>
      </c>
      <c r="Q98" s="6">
        <f t="shared" ref="Q98" si="204">+L98-M98-N98+P98</f>
        <v>48.77</v>
      </c>
      <c r="R98" s="3"/>
      <c r="S98" s="3">
        <v>16.899999999999999</v>
      </c>
      <c r="T98" s="3">
        <v>1.47</v>
      </c>
      <c r="U98" s="3"/>
      <c r="V98" s="3"/>
      <c r="W98" s="3">
        <v>0.85</v>
      </c>
      <c r="X98" s="2">
        <f t="shared" ref="X98" si="205">+S98+T98++U98+V98-W98</f>
        <v>17.519999999999996</v>
      </c>
      <c r="Y98" s="6">
        <f t="shared" ref="Y98" si="206">+Q98-X98</f>
        <v>31.250000000000007</v>
      </c>
      <c r="Z98" s="2"/>
      <c r="AA98" s="2"/>
      <c r="AB98" s="2"/>
      <c r="AC98" s="3"/>
      <c r="AD98" s="2"/>
      <c r="AE98" s="2"/>
      <c r="AF98" s="2"/>
      <c r="AG98" s="2"/>
      <c r="AH98" s="2" t="s">
        <v>8202</v>
      </c>
      <c r="AI98" s="2" t="s">
        <v>8201</v>
      </c>
      <c r="AJ98" s="2"/>
      <c r="AK98" s="2"/>
      <c r="AL98" s="2" t="s">
        <v>7826</v>
      </c>
      <c r="AM98" s="2" t="s">
        <v>8734</v>
      </c>
      <c r="AN98" s="2"/>
      <c r="AO98" s="2" t="s">
        <v>8586</v>
      </c>
      <c r="AP98" s="2" t="s">
        <v>5412</v>
      </c>
      <c r="AQ98" s="2" t="s">
        <v>8203</v>
      </c>
      <c r="AR98" s="16" t="s">
        <v>8744</v>
      </c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spans="2:58" ht="17.25" customHeight="1">
      <c r="C99" s="1">
        <v>44040</v>
      </c>
      <c r="E99" s="2" t="s">
        <v>8163</v>
      </c>
      <c r="F99" s="15"/>
      <c r="G99" s="2" t="s">
        <v>8197</v>
      </c>
      <c r="H99" s="2" t="s">
        <v>8198</v>
      </c>
      <c r="I99" s="2"/>
      <c r="J99" s="2">
        <v>0</v>
      </c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2"/>
      <c r="AA99" s="2"/>
      <c r="AB99" s="2"/>
      <c r="AC99" s="3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5" t="s">
        <v>8204</v>
      </c>
      <c r="AQ99" s="5" t="s">
        <v>8204</v>
      </c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spans="2:58" ht="17.25" customHeight="1">
      <c r="C100" s="1">
        <v>44040</v>
      </c>
      <c r="E100" s="2" t="s">
        <v>7763</v>
      </c>
      <c r="F100" s="15"/>
      <c r="G100" s="2" t="s">
        <v>8184</v>
      </c>
      <c r="H100" s="2" t="s">
        <v>8183</v>
      </c>
      <c r="I100" s="2"/>
      <c r="J100" s="2">
        <v>1</v>
      </c>
      <c r="K100" s="2"/>
      <c r="L100" s="3">
        <v>33.85</v>
      </c>
      <c r="M100" s="3">
        <v>3.38</v>
      </c>
      <c r="N100" s="3">
        <v>1.9</v>
      </c>
      <c r="O100" s="3">
        <v>0</v>
      </c>
      <c r="P100" s="3">
        <v>2.4500000000000002</v>
      </c>
      <c r="Q100" s="6">
        <f t="shared" ref="Q100:Q101" si="207">+L100-M100-N100+P100</f>
        <v>31.020000000000003</v>
      </c>
      <c r="R100" s="3"/>
      <c r="S100" s="3">
        <v>21.89</v>
      </c>
      <c r="T100" s="3">
        <v>2.13</v>
      </c>
      <c r="U100" s="3"/>
      <c r="V100" s="3"/>
      <c r="W100" s="3">
        <v>1.1000000000000001</v>
      </c>
      <c r="X100" s="3">
        <f t="shared" ref="X100:X101" si="208">+S100+T100++U100+V100-W100</f>
        <v>22.919999999999998</v>
      </c>
      <c r="Y100" s="6">
        <f t="shared" ref="Y100:Y101" si="209">+Q100-X100</f>
        <v>8.100000000000005</v>
      </c>
      <c r="Z100" s="2"/>
      <c r="AA100" s="2"/>
      <c r="AB100" s="2"/>
      <c r="AC100" s="3"/>
      <c r="AD100" s="2"/>
      <c r="AE100" s="2"/>
      <c r="AF100" s="2"/>
      <c r="AG100" s="2"/>
      <c r="AH100" s="2" t="s">
        <v>8186</v>
      </c>
      <c r="AI100" s="2" t="s">
        <v>8185</v>
      </c>
      <c r="AJ100" s="2"/>
      <c r="AK100" s="2"/>
      <c r="AL100" s="2" t="s">
        <v>7833</v>
      </c>
      <c r="AM100" s="2" t="s">
        <v>8632</v>
      </c>
      <c r="AN100" s="2"/>
      <c r="AO100" s="2" t="s">
        <v>8581</v>
      </c>
      <c r="AP100" s="2" t="s">
        <v>5412</v>
      </c>
      <c r="AQ100" s="2" t="s">
        <v>8187</v>
      </c>
      <c r="AR100" s="16" t="s">
        <v>8287</v>
      </c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2:58" ht="17.25" customHeight="1">
      <c r="B101" s="2" t="s">
        <v>8430</v>
      </c>
      <c r="C101" s="1">
        <v>44040</v>
      </c>
      <c r="E101" s="2" t="s">
        <v>8182</v>
      </c>
      <c r="F101" s="15"/>
      <c r="G101" s="2" t="s">
        <v>8206</v>
      </c>
      <c r="H101" s="2" t="s">
        <v>8205</v>
      </c>
      <c r="I101" s="2"/>
      <c r="J101" s="2">
        <v>1</v>
      </c>
      <c r="K101" s="2"/>
      <c r="L101" s="3">
        <v>10.8</v>
      </c>
      <c r="M101" s="3">
        <v>1.08</v>
      </c>
      <c r="N101" s="3">
        <v>0.81</v>
      </c>
      <c r="O101" s="3">
        <v>0</v>
      </c>
      <c r="P101" s="3">
        <f>0.91-0.91</f>
        <v>0</v>
      </c>
      <c r="Q101" s="6">
        <f t="shared" si="207"/>
        <v>8.91</v>
      </c>
      <c r="R101" s="3"/>
      <c r="S101" s="3">
        <v>2.19</v>
      </c>
      <c r="T101" s="3">
        <v>0.55000000000000004</v>
      </c>
      <c r="U101" s="3">
        <v>4.42</v>
      </c>
      <c r="V101" s="3"/>
      <c r="W101" s="3"/>
      <c r="X101" s="2">
        <f t="shared" si="208"/>
        <v>7.16</v>
      </c>
      <c r="Y101" s="6">
        <f t="shared" si="209"/>
        <v>1.75</v>
      </c>
      <c r="Z101" s="2"/>
      <c r="AA101" s="2"/>
      <c r="AB101" s="2"/>
      <c r="AC101" s="3"/>
      <c r="AD101" s="2"/>
      <c r="AE101" s="2"/>
      <c r="AF101" s="2"/>
      <c r="AG101" s="2"/>
      <c r="AH101" s="2" t="s">
        <v>8208</v>
      </c>
      <c r="AI101" s="2" t="s">
        <v>8207</v>
      </c>
      <c r="AJ101" s="2"/>
      <c r="AK101" s="2"/>
      <c r="AL101" s="2" t="s">
        <v>8636</v>
      </c>
      <c r="AM101" s="16" t="s">
        <v>8635</v>
      </c>
      <c r="AN101" s="2"/>
      <c r="AO101" s="16" t="s">
        <v>8637</v>
      </c>
      <c r="AP101" s="2" t="s">
        <v>8308</v>
      </c>
      <c r="AQ101" s="2" t="s">
        <v>8209</v>
      </c>
      <c r="AR101" s="16" t="s">
        <v>8638</v>
      </c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2:58" ht="17.25" customHeight="1">
      <c r="C102" s="1">
        <v>44040</v>
      </c>
      <c r="E102" s="2" t="s">
        <v>7984</v>
      </c>
      <c r="F102" s="15"/>
      <c r="G102" s="2" t="s">
        <v>8190</v>
      </c>
      <c r="H102" s="2" t="s">
        <v>8189</v>
      </c>
      <c r="I102" s="2"/>
      <c r="J102" s="2">
        <v>1</v>
      </c>
      <c r="K102" s="2"/>
      <c r="L102" s="3">
        <v>18.8</v>
      </c>
      <c r="M102" s="3">
        <v>1.88</v>
      </c>
      <c r="N102" s="3">
        <v>1.18</v>
      </c>
      <c r="O102" s="3">
        <v>1.1299999999999999</v>
      </c>
      <c r="P102" s="3">
        <f>1.13-1.13</f>
        <v>0</v>
      </c>
      <c r="Q102" s="6">
        <f t="shared" ref="Q102" si="210">+L102-M102-N102+P102</f>
        <v>15.740000000000002</v>
      </c>
      <c r="R102" s="3"/>
      <c r="S102" s="3">
        <v>12.49</v>
      </c>
      <c r="T102" s="3">
        <v>0.75</v>
      </c>
      <c r="U102" s="3"/>
      <c r="V102" s="3"/>
      <c r="W102" s="3">
        <v>0.62</v>
      </c>
      <c r="X102" s="2">
        <f t="shared" ref="X102" si="211">+S102+T102++U102+V102-W102</f>
        <v>12.620000000000001</v>
      </c>
      <c r="Y102" s="6">
        <f t="shared" ref="Y102" si="212">+Q102-X102</f>
        <v>3.120000000000001</v>
      </c>
      <c r="Z102" s="6">
        <f>SUM(Y93:Y102)</f>
        <v>99.870000000000019</v>
      </c>
      <c r="AA102" s="34">
        <f>SUM(J93:J102)</f>
        <v>9</v>
      </c>
      <c r="AB102" s="2"/>
      <c r="AC102" s="3"/>
      <c r="AD102" s="2"/>
      <c r="AE102" s="2"/>
      <c r="AF102" s="2"/>
      <c r="AG102" s="2"/>
      <c r="AH102" s="2" t="s">
        <v>8192</v>
      </c>
      <c r="AI102" s="2" t="s">
        <v>8191</v>
      </c>
      <c r="AJ102" s="2"/>
      <c r="AK102" s="2"/>
      <c r="AL102" s="2" t="s">
        <v>7873</v>
      </c>
      <c r="AM102" s="16" t="s">
        <v>8728</v>
      </c>
      <c r="AN102" s="2"/>
      <c r="AO102" s="2" t="s">
        <v>8578</v>
      </c>
      <c r="AP102" s="2" t="s">
        <v>5412</v>
      </c>
      <c r="AQ102" s="2" t="s">
        <v>8188</v>
      </c>
      <c r="AR102" s="16" t="s">
        <v>8530</v>
      </c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2:58" ht="17.25" customHeight="1">
      <c r="C103" s="1">
        <v>44039</v>
      </c>
      <c r="E103" s="2" t="s">
        <v>8163</v>
      </c>
      <c r="F103" s="15"/>
      <c r="G103" s="2" t="s">
        <v>8177</v>
      </c>
      <c r="H103" s="2" t="s">
        <v>8176</v>
      </c>
      <c r="I103" s="2"/>
      <c r="J103" s="2">
        <v>1</v>
      </c>
      <c r="K103" s="2"/>
      <c r="L103" s="3">
        <v>13.95</v>
      </c>
      <c r="M103" s="3">
        <v>1.39</v>
      </c>
      <c r="N103" s="3">
        <v>0.95</v>
      </c>
      <c r="O103" s="3">
        <v>0.77</v>
      </c>
      <c r="P103" s="3">
        <f>0.77-0.77</f>
        <v>0</v>
      </c>
      <c r="Q103" s="6">
        <f t="shared" ref="Q103" si="213">+L103-M103-N103+P103</f>
        <v>11.61</v>
      </c>
      <c r="R103" s="3"/>
      <c r="S103" s="3">
        <v>7.42</v>
      </c>
      <c r="T103" s="3">
        <v>0.1</v>
      </c>
      <c r="U103" s="3"/>
      <c r="V103" s="3"/>
      <c r="W103" s="3">
        <v>0.37</v>
      </c>
      <c r="X103" s="2">
        <f t="shared" ref="X103" si="214">+S103+T103++U103+V103-W103</f>
        <v>7.1499999999999995</v>
      </c>
      <c r="Y103" s="6">
        <f t="shared" ref="Y103" si="215">+Q103-X103</f>
        <v>4.46</v>
      </c>
      <c r="Z103" s="2"/>
      <c r="AA103" s="2"/>
      <c r="AB103" s="2"/>
      <c r="AC103" s="3"/>
      <c r="AD103" s="2"/>
      <c r="AE103" s="2"/>
      <c r="AF103" s="2"/>
      <c r="AG103" s="2"/>
      <c r="AH103" s="2" t="s">
        <v>8179</v>
      </c>
      <c r="AI103" s="2" t="s">
        <v>8178</v>
      </c>
      <c r="AJ103" s="2"/>
      <c r="AK103" s="2"/>
      <c r="AL103" s="2" t="s">
        <v>7873</v>
      </c>
      <c r="AM103" s="16" t="s">
        <v>8467</v>
      </c>
      <c r="AN103" s="2"/>
      <c r="AO103" s="2" t="s">
        <v>8412</v>
      </c>
      <c r="AP103" s="2" t="s">
        <v>5412</v>
      </c>
      <c r="AQ103" s="16" t="s">
        <v>8181</v>
      </c>
      <c r="AR103" s="16" t="s">
        <v>8359</v>
      </c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2:58" ht="17.25" customHeight="1">
      <c r="C104" s="1">
        <v>44039</v>
      </c>
      <c r="E104" s="2" t="s">
        <v>8162</v>
      </c>
      <c r="F104" s="15"/>
      <c r="G104" s="2" t="s">
        <v>8173</v>
      </c>
      <c r="H104" s="2" t="s">
        <v>8172</v>
      </c>
      <c r="I104" s="2"/>
      <c r="J104" s="2">
        <v>1</v>
      </c>
      <c r="K104" s="2"/>
      <c r="L104" s="3">
        <v>33.549999999999997</v>
      </c>
      <c r="M104" s="3">
        <v>3.35</v>
      </c>
      <c r="N104" s="3">
        <v>1.87</v>
      </c>
      <c r="O104" s="3">
        <v>2.1</v>
      </c>
      <c r="P104" s="3">
        <f>2.1-2.1</f>
        <v>0</v>
      </c>
      <c r="Q104" s="6">
        <f t="shared" ref="Q104" si="216">+L104-M104-N104+P104</f>
        <v>28.329999999999995</v>
      </c>
      <c r="R104" s="3"/>
      <c r="S104" s="3">
        <v>16.95</v>
      </c>
      <c r="T104" s="3">
        <v>1.37</v>
      </c>
      <c r="U104" s="3">
        <v>5</v>
      </c>
      <c r="V104" s="3"/>
      <c r="W104" s="3">
        <v>0</v>
      </c>
      <c r="X104" s="2">
        <f t="shared" ref="X104" si="217">+S104+T104++U104+V104-W104</f>
        <v>23.32</v>
      </c>
      <c r="Y104" s="6">
        <f t="shared" ref="Y104" si="218">+Q104-X104</f>
        <v>5.0099999999999945</v>
      </c>
      <c r="Z104" s="2"/>
      <c r="AA104" s="2"/>
      <c r="AB104" s="2"/>
      <c r="AC104" s="3"/>
      <c r="AD104" s="2"/>
      <c r="AE104" s="2"/>
      <c r="AF104" s="2"/>
      <c r="AG104" s="2"/>
      <c r="AH104" s="2" t="s">
        <v>8175</v>
      </c>
      <c r="AI104" s="2" t="s">
        <v>8174</v>
      </c>
      <c r="AJ104" s="2"/>
      <c r="AK104" s="2"/>
      <c r="AL104" s="2" t="s">
        <v>7833</v>
      </c>
      <c r="AM104" s="2" t="s">
        <v>8596</v>
      </c>
      <c r="AN104" s="2"/>
      <c r="AO104" s="2" t="s">
        <v>8514</v>
      </c>
      <c r="AP104" s="2" t="s">
        <v>8081</v>
      </c>
      <c r="AQ104" s="2" t="s">
        <v>8158</v>
      </c>
      <c r="AR104" s="16" t="s">
        <v>8287</v>
      </c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2:58" ht="17.25" customHeight="1">
      <c r="C105" s="1">
        <v>44039</v>
      </c>
      <c r="E105" s="2" t="s">
        <v>8161</v>
      </c>
      <c r="F105" s="15"/>
      <c r="G105" s="2" t="s">
        <v>8169</v>
      </c>
      <c r="H105" s="2" t="s">
        <v>8168</v>
      </c>
      <c r="I105" s="2"/>
      <c r="J105" s="2">
        <v>1</v>
      </c>
      <c r="K105" s="2"/>
      <c r="L105" s="3">
        <v>19.5</v>
      </c>
      <c r="M105" s="3">
        <v>1.95</v>
      </c>
      <c r="N105" s="3">
        <v>1.23</v>
      </c>
      <c r="O105" s="3">
        <v>1.7</v>
      </c>
      <c r="P105" s="3">
        <f>1.7-1.7</f>
        <v>0</v>
      </c>
      <c r="Q105" s="6">
        <f t="shared" ref="Q105" si="219">+L105-M105-N105+P105</f>
        <v>16.32</v>
      </c>
      <c r="R105" s="3"/>
      <c r="S105" s="3">
        <v>8.99</v>
      </c>
      <c r="T105" s="3">
        <v>0.78</v>
      </c>
      <c r="U105" s="3"/>
      <c r="V105" s="3"/>
      <c r="W105" s="3">
        <v>0.45</v>
      </c>
      <c r="X105" s="2">
        <f t="shared" ref="X105" si="220">+S105+T105++U105+V105-W105</f>
        <v>9.32</v>
      </c>
      <c r="Y105" s="6">
        <f t="shared" ref="Y105" si="221">+Q105-X105</f>
        <v>7</v>
      </c>
      <c r="Z105" s="2"/>
      <c r="AA105" s="2"/>
      <c r="AB105" s="2"/>
      <c r="AC105" s="3"/>
      <c r="AD105" s="2"/>
      <c r="AE105" s="2"/>
      <c r="AF105" s="2"/>
      <c r="AG105" s="2"/>
      <c r="AH105" s="2" t="s">
        <v>8171</v>
      </c>
      <c r="AI105" s="2" t="s">
        <v>8170</v>
      </c>
      <c r="AJ105" s="2"/>
      <c r="AK105" s="2"/>
      <c r="AL105" s="2" t="s">
        <v>7873</v>
      </c>
      <c r="AM105" s="22" t="s">
        <v>8360</v>
      </c>
      <c r="AN105" s="2"/>
      <c r="AO105" s="2" t="s">
        <v>8358</v>
      </c>
      <c r="AP105" s="2" t="s">
        <v>5412</v>
      </c>
      <c r="AQ105" s="2" t="s">
        <v>7866</v>
      </c>
      <c r="AR105" s="16" t="s">
        <v>8359</v>
      </c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2:58" ht="17.25" customHeight="1">
      <c r="C106" s="1">
        <v>44039</v>
      </c>
      <c r="E106" s="2" t="s">
        <v>5707</v>
      </c>
      <c r="F106" s="15"/>
      <c r="G106" s="2" t="s">
        <v>8165</v>
      </c>
      <c r="H106" s="2" t="s">
        <v>8164</v>
      </c>
      <c r="I106" s="2"/>
      <c r="J106" s="2">
        <v>1</v>
      </c>
      <c r="K106" s="2"/>
      <c r="L106" s="3">
        <v>52.75</v>
      </c>
      <c r="M106" s="3">
        <v>5.27</v>
      </c>
      <c r="N106" s="3">
        <v>2.83</v>
      </c>
      <c r="O106" s="3">
        <v>4.68</v>
      </c>
      <c r="P106" s="3">
        <f>4.68-4.68</f>
        <v>0</v>
      </c>
      <c r="Q106" s="6">
        <f t="shared" ref="Q106" si="222">+L106-M106-N106+P106</f>
        <v>44.650000000000006</v>
      </c>
      <c r="R106" s="3"/>
      <c r="S106" s="3">
        <v>29.99</v>
      </c>
      <c r="T106" s="3">
        <v>3.11</v>
      </c>
      <c r="U106" s="3">
        <v>5</v>
      </c>
      <c r="V106" s="3"/>
      <c r="W106" s="3"/>
      <c r="X106" s="2">
        <f t="shared" ref="X106" si="223">+S106+T106++U106+V106-W106</f>
        <v>38.1</v>
      </c>
      <c r="Y106" s="6">
        <f t="shared" ref="Y106" si="224">+Q106-X106</f>
        <v>6.5500000000000043</v>
      </c>
      <c r="Z106" s="2"/>
      <c r="AA106" s="2"/>
      <c r="AB106" s="2"/>
      <c r="AC106" s="3"/>
      <c r="AD106" s="2"/>
      <c r="AE106" s="2"/>
      <c r="AF106" s="2"/>
      <c r="AG106" s="2"/>
      <c r="AH106" s="2" t="s">
        <v>8167</v>
      </c>
      <c r="AI106" s="2" t="s">
        <v>8166</v>
      </c>
      <c r="AJ106" s="2"/>
      <c r="AK106" s="2"/>
      <c r="AL106" s="2" t="s">
        <v>7833</v>
      </c>
      <c r="AM106" s="2" t="s">
        <v>8591</v>
      </c>
      <c r="AN106" s="2"/>
      <c r="AO106" s="2" t="s">
        <v>8414</v>
      </c>
      <c r="AP106" s="2" t="s">
        <v>8081</v>
      </c>
      <c r="AQ106" s="2" t="s">
        <v>7915</v>
      </c>
      <c r="AR106" s="16" t="s">
        <v>8380</v>
      </c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2:58" ht="17.25" customHeight="1">
      <c r="C107" s="1">
        <v>44039</v>
      </c>
      <c r="E107" s="2" t="s">
        <v>8035</v>
      </c>
      <c r="F107" s="15"/>
      <c r="G107" s="2" t="s">
        <v>8144</v>
      </c>
      <c r="H107" s="2" t="s">
        <v>8143</v>
      </c>
      <c r="I107" s="2"/>
      <c r="J107" s="2">
        <v>1</v>
      </c>
      <c r="K107" s="2"/>
      <c r="L107" s="3">
        <v>33.85</v>
      </c>
      <c r="M107" s="3">
        <v>3.38</v>
      </c>
      <c r="N107" s="3">
        <v>1.91</v>
      </c>
      <c r="O107" s="3">
        <v>2.79</v>
      </c>
      <c r="P107" s="3">
        <f>2.79-2.79</f>
        <v>0</v>
      </c>
      <c r="Q107" s="6">
        <f t="shared" ref="Q107" si="225">+L107-M107-N107+P107</f>
        <v>28.560000000000002</v>
      </c>
      <c r="R107" s="3"/>
      <c r="S107" s="3">
        <v>18.149999999999999</v>
      </c>
      <c r="T107" s="3">
        <v>1.5</v>
      </c>
      <c r="U107" s="3"/>
      <c r="V107" s="3"/>
      <c r="W107" s="3">
        <v>0.91</v>
      </c>
      <c r="X107" s="2">
        <f t="shared" ref="X107" si="226">+S107+T107++U107+V107-W107</f>
        <v>18.739999999999998</v>
      </c>
      <c r="Y107" s="6">
        <f t="shared" ref="Y107" si="227">+Q107-X107</f>
        <v>9.8200000000000038</v>
      </c>
      <c r="Z107" s="2"/>
      <c r="AA107" s="2"/>
      <c r="AB107" s="2"/>
      <c r="AC107" s="3"/>
      <c r="AD107" s="2"/>
      <c r="AE107" s="2"/>
      <c r="AF107" s="2"/>
      <c r="AG107" s="2"/>
      <c r="AH107" s="2" t="s">
        <v>8146</v>
      </c>
      <c r="AI107" s="2" t="s">
        <v>8145</v>
      </c>
      <c r="AJ107" s="2"/>
      <c r="AK107" s="2"/>
      <c r="AL107" s="2" t="s">
        <v>7826</v>
      </c>
      <c r="AM107" s="2" t="s">
        <v>8538</v>
      </c>
      <c r="AN107" s="2"/>
      <c r="AO107" s="2" t="s">
        <v>8478</v>
      </c>
      <c r="AP107" s="2" t="s">
        <v>6929</v>
      </c>
      <c r="AQ107" s="2" t="s">
        <v>8040</v>
      </c>
      <c r="AR107" s="16" t="s">
        <v>8380</v>
      </c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2:58" ht="17.25" customHeight="1">
      <c r="C108" s="1">
        <v>44039</v>
      </c>
      <c r="E108" s="2" t="s">
        <v>8153</v>
      </c>
      <c r="F108" s="15"/>
      <c r="G108" s="2" t="s">
        <v>8155</v>
      </c>
      <c r="H108" s="2" t="s">
        <v>8154</v>
      </c>
      <c r="I108" s="2"/>
      <c r="J108" s="2">
        <v>1</v>
      </c>
      <c r="K108" s="2"/>
      <c r="L108" s="3">
        <v>33.549999999999997</v>
      </c>
      <c r="M108" s="3">
        <v>3.35</v>
      </c>
      <c r="N108" s="3">
        <v>1.87</v>
      </c>
      <c r="O108" s="3">
        <v>2.02</v>
      </c>
      <c r="P108" s="3">
        <f>2.02-2.02</f>
        <v>0</v>
      </c>
      <c r="Q108" s="6">
        <f t="shared" ref="Q108" si="228">+L108-M108-N108+P108</f>
        <v>28.329999999999995</v>
      </c>
      <c r="R108" s="3"/>
      <c r="S108" s="3">
        <v>16.95</v>
      </c>
      <c r="T108" s="3">
        <v>1.02</v>
      </c>
      <c r="U108" s="3">
        <v>5</v>
      </c>
      <c r="V108" s="3"/>
      <c r="W108" s="3">
        <v>0</v>
      </c>
      <c r="X108" s="2">
        <f t="shared" ref="X108" si="229">+S108+T108++U108+V108-W108</f>
        <v>22.97</v>
      </c>
      <c r="Y108" s="6">
        <f t="shared" ref="Y108" si="230">+Q108-X108</f>
        <v>5.3599999999999959</v>
      </c>
      <c r="Z108" s="2"/>
      <c r="AA108" s="2"/>
      <c r="AB108" s="2"/>
      <c r="AC108" s="3"/>
      <c r="AD108" s="2"/>
      <c r="AE108" s="2"/>
      <c r="AF108" s="2"/>
      <c r="AG108" s="2"/>
      <c r="AH108" s="2" t="s">
        <v>8157</v>
      </c>
      <c r="AI108" s="2" t="s">
        <v>8156</v>
      </c>
      <c r="AJ108" s="2"/>
      <c r="AK108" s="2"/>
      <c r="AL108" s="2" t="s">
        <v>7833</v>
      </c>
      <c r="AM108" s="2" t="s">
        <v>8595</v>
      </c>
      <c r="AN108" s="2"/>
      <c r="AO108" s="2" t="s">
        <v>8513</v>
      </c>
      <c r="AP108" s="2" t="s">
        <v>8081</v>
      </c>
      <c r="AQ108" s="2" t="s">
        <v>8158</v>
      </c>
      <c r="AR108" s="16" t="s">
        <v>8476</v>
      </c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2:58" ht="17.25" customHeight="1">
      <c r="C109" s="1">
        <v>44039</v>
      </c>
      <c r="E109" s="2" t="s">
        <v>7917</v>
      </c>
      <c r="F109" s="15"/>
      <c r="G109" s="2" t="s">
        <v>8144</v>
      </c>
      <c r="H109" s="2" t="s">
        <v>8143</v>
      </c>
      <c r="I109" s="2"/>
      <c r="J109" s="2">
        <v>1</v>
      </c>
      <c r="K109" s="2"/>
      <c r="L109" s="3">
        <v>23.15</v>
      </c>
      <c r="M109" s="3">
        <v>2.31</v>
      </c>
      <c r="N109" s="3">
        <v>1.42</v>
      </c>
      <c r="O109" s="3">
        <v>1.94</v>
      </c>
      <c r="P109" s="3">
        <f>1.94-1.94</f>
        <v>0</v>
      </c>
      <c r="Q109" s="6">
        <f t="shared" ref="Q109" si="231">+L109-M109-N109+P109</f>
        <v>19.420000000000002</v>
      </c>
      <c r="R109" s="3"/>
      <c r="S109" s="3">
        <v>12.96</v>
      </c>
      <c r="T109" s="3">
        <v>1.0900000000000001</v>
      </c>
      <c r="U109" s="3"/>
      <c r="V109" s="3"/>
      <c r="W109" s="3">
        <v>0.65</v>
      </c>
      <c r="X109" s="2">
        <f t="shared" ref="X109" si="232">+S109+T109++U109+V109-W109</f>
        <v>13.4</v>
      </c>
      <c r="Y109" s="6">
        <f t="shared" ref="Y109" si="233">+Q109-X109</f>
        <v>6.0200000000000014</v>
      </c>
      <c r="Z109" s="6">
        <f>SUM(Y103:Y109)</f>
        <v>44.220000000000006</v>
      </c>
      <c r="AA109" s="34">
        <f>SUM(J103:J109)</f>
        <v>7</v>
      </c>
      <c r="AB109" s="2"/>
      <c r="AC109" s="3"/>
      <c r="AD109" s="2"/>
      <c r="AE109" s="2"/>
      <c r="AF109" s="2"/>
      <c r="AG109" s="2"/>
      <c r="AH109" s="2" t="s">
        <v>8146</v>
      </c>
      <c r="AI109" s="2" t="s">
        <v>8145</v>
      </c>
      <c r="AJ109" s="2"/>
      <c r="AK109" s="2"/>
      <c r="AL109" s="2" t="s">
        <v>7826</v>
      </c>
      <c r="AM109" s="2" t="s">
        <v>8538</v>
      </c>
      <c r="AN109" s="2"/>
      <c r="AO109" s="2" t="s">
        <v>8477</v>
      </c>
      <c r="AP109" s="2" t="s">
        <v>6929</v>
      </c>
      <c r="AQ109" s="2" t="s">
        <v>8147</v>
      </c>
      <c r="AR109" s="16" t="s">
        <v>8592</v>
      </c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2:58" ht="17.25" customHeight="1">
      <c r="C110" s="1">
        <v>44038</v>
      </c>
      <c r="E110" s="2" t="s">
        <v>8102</v>
      </c>
      <c r="F110" s="15"/>
      <c r="G110" s="2" t="s">
        <v>8112</v>
      </c>
      <c r="H110" s="2" t="s">
        <v>8111</v>
      </c>
      <c r="I110" s="2"/>
      <c r="J110" s="2">
        <v>1</v>
      </c>
      <c r="K110" s="2"/>
      <c r="L110" s="3">
        <v>39.5</v>
      </c>
      <c r="M110" s="3">
        <v>3.95</v>
      </c>
      <c r="N110" s="3">
        <v>2.14</v>
      </c>
      <c r="O110" s="3">
        <v>2.37</v>
      </c>
      <c r="P110" s="3">
        <f>2.37-2.37</f>
        <v>0</v>
      </c>
      <c r="Q110" s="6">
        <f t="shared" ref="Q110" si="234">+L110-M110-N110+P110</f>
        <v>33.409999999999997</v>
      </c>
      <c r="R110" s="3"/>
      <c r="S110" s="3">
        <v>23.99</v>
      </c>
      <c r="T110" s="3">
        <v>1.44</v>
      </c>
      <c r="U110" s="3">
        <v>0</v>
      </c>
      <c r="V110" s="3"/>
      <c r="W110" s="3">
        <v>0</v>
      </c>
      <c r="X110" s="2">
        <f t="shared" ref="X110" si="235">+S110+T110++U110+V110-W110</f>
        <v>25.43</v>
      </c>
      <c r="Y110" s="6">
        <f t="shared" ref="Y110" si="236">+Q110-X110</f>
        <v>7.9799999999999969</v>
      </c>
      <c r="Z110" s="2"/>
      <c r="AA110" s="2"/>
      <c r="AB110" s="2"/>
      <c r="AC110" s="3"/>
      <c r="AD110" s="2"/>
      <c r="AE110" s="2"/>
      <c r="AF110" s="2"/>
      <c r="AG110" s="2"/>
      <c r="AH110" s="2" t="s">
        <v>8114</v>
      </c>
      <c r="AI110" s="2" t="s">
        <v>8113</v>
      </c>
      <c r="AJ110" s="2"/>
      <c r="AK110" s="2"/>
      <c r="AL110" s="2" t="s">
        <v>7833</v>
      </c>
      <c r="AM110" s="2" t="s">
        <v>8733</v>
      </c>
      <c r="AN110" s="2"/>
      <c r="AO110" s="2" t="s">
        <v>8475</v>
      </c>
      <c r="AP110" s="2" t="s">
        <v>7938</v>
      </c>
      <c r="AQ110" s="2" t="s">
        <v>8115</v>
      </c>
      <c r="AR110" s="16" t="s">
        <v>8476</v>
      </c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2:58" ht="17.25" customHeight="1">
      <c r="C111" s="1">
        <v>44038</v>
      </c>
      <c r="E111" s="2" t="s">
        <v>8035</v>
      </c>
      <c r="F111" s="15"/>
      <c r="G111" s="2" t="s">
        <v>8108</v>
      </c>
      <c r="H111" s="2" t="s">
        <v>8107</v>
      </c>
      <c r="I111" s="2"/>
      <c r="J111" s="2">
        <v>1</v>
      </c>
      <c r="K111" s="2"/>
      <c r="L111" s="3">
        <v>33.85</v>
      </c>
      <c r="M111" s="3">
        <v>3.38</v>
      </c>
      <c r="N111" s="3">
        <v>1.88</v>
      </c>
      <c r="O111" s="3">
        <v>2.04</v>
      </c>
      <c r="P111" s="3">
        <f>2.04-2.04</f>
        <v>0</v>
      </c>
      <c r="Q111" s="6">
        <f t="shared" ref="Q111:Q112" si="237">+L111-M111-N111+P111</f>
        <v>28.590000000000003</v>
      </c>
      <c r="R111" s="3"/>
      <c r="S111" s="3">
        <v>18.98</v>
      </c>
      <c r="T111" s="3">
        <v>1.1399999999999999</v>
      </c>
      <c r="U111" s="3"/>
      <c r="V111" s="3"/>
      <c r="W111" s="3">
        <v>0.95</v>
      </c>
      <c r="X111" s="2">
        <f t="shared" ref="X111:X112" si="238">+S111+T111++U111+V111-W111</f>
        <v>19.170000000000002</v>
      </c>
      <c r="Y111" s="6">
        <f t="shared" ref="Y111:Y112" si="239">+Q111-X111</f>
        <v>9.4200000000000017</v>
      </c>
      <c r="Z111" s="2"/>
      <c r="AA111" s="2"/>
      <c r="AB111" s="2"/>
      <c r="AC111" s="3"/>
      <c r="AD111" s="2"/>
      <c r="AE111" s="2"/>
      <c r="AF111" s="2"/>
      <c r="AG111" s="2"/>
      <c r="AH111" s="2" t="s">
        <v>8110</v>
      </c>
      <c r="AI111" s="2" t="s">
        <v>8109</v>
      </c>
      <c r="AJ111" s="2"/>
      <c r="AK111" s="2"/>
      <c r="AL111" s="2" t="s">
        <v>7833</v>
      </c>
      <c r="AM111" s="2" t="s">
        <v>8541</v>
      </c>
      <c r="AN111" s="2"/>
      <c r="AO111" s="2" t="s">
        <v>8379</v>
      </c>
      <c r="AP111" s="2" t="s">
        <v>8376</v>
      </c>
      <c r="AQ111" s="2" t="s">
        <v>8040</v>
      </c>
      <c r="AR111" s="16" t="s">
        <v>8380</v>
      </c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2:58" ht="17.25" customHeight="1">
      <c r="C112" s="1">
        <v>44038</v>
      </c>
      <c r="E112" s="2" t="s">
        <v>8101</v>
      </c>
      <c r="F112" s="15"/>
      <c r="G112" s="2" t="s">
        <v>8103</v>
      </c>
      <c r="H112" s="2" t="s">
        <v>8264</v>
      </c>
      <c r="I112" s="2"/>
      <c r="J112" s="2">
        <v>1</v>
      </c>
      <c r="K112" s="2"/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6">
        <f t="shared" si="237"/>
        <v>0</v>
      </c>
      <c r="R112" s="3"/>
      <c r="S112" s="3">
        <v>0</v>
      </c>
      <c r="T112" s="3">
        <v>0</v>
      </c>
      <c r="U112" s="3"/>
      <c r="V112" s="3"/>
      <c r="W112" s="3">
        <v>0</v>
      </c>
      <c r="X112" s="2">
        <f t="shared" si="238"/>
        <v>0</v>
      </c>
      <c r="Y112" s="6">
        <f t="shared" si="239"/>
        <v>0</v>
      </c>
      <c r="Z112" s="2"/>
      <c r="AA112" s="2"/>
      <c r="AB112" s="2"/>
      <c r="AC112" s="3"/>
      <c r="AD112" s="2"/>
      <c r="AE112" s="2"/>
      <c r="AF112" s="2"/>
      <c r="AG112" s="2"/>
      <c r="AH112" s="2" t="s">
        <v>8105</v>
      </c>
      <c r="AI112" s="2" t="s">
        <v>8104</v>
      </c>
      <c r="AJ112" s="2"/>
      <c r="AK112" s="2"/>
      <c r="AL112" s="2"/>
      <c r="AM112" s="2"/>
      <c r="AN112" s="2"/>
      <c r="AO112" s="5" t="s">
        <v>8204</v>
      </c>
      <c r="AP112" s="5" t="s">
        <v>8204</v>
      </c>
      <c r="AQ112" s="2" t="s">
        <v>8106</v>
      </c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3:58" ht="17.25" customHeight="1">
      <c r="C113" s="1">
        <v>44038</v>
      </c>
      <c r="E113" s="2" t="s">
        <v>8035</v>
      </c>
      <c r="F113" s="15"/>
      <c r="G113" s="2" t="s">
        <v>8097</v>
      </c>
      <c r="H113" s="2" t="s">
        <v>8096</v>
      </c>
      <c r="I113" s="2"/>
      <c r="J113" s="2">
        <v>1</v>
      </c>
      <c r="K113" s="2"/>
      <c r="L113" s="3">
        <v>33.85</v>
      </c>
      <c r="M113" s="3">
        <v>3.38</v>
      </c>
      <c r="N113" s="3">
        <v>1.92</v>
      </c>
      <c r="O113" s="3">
        <v>3.05</v>
      </c>
      <c r="P113" s="3">
        <f>3.05-3.05</f>
        <v>0</v>
      </c>
      <c r="Q113" s="6">
        <f t="shared" ref="Q113" si="240">+L113-M113-N113+P113</f>
        <v>28.550000000000004</v>
      </c>
      <c r="R113" s="3"/>
      <c r="S113" s="3">
        <v>16.649999999999999</v>
      </c>
      <c r="T113" s="3">
        <f>1.5-0.08</f>
        <v>1.42</v>
      </c>
      <c r="U113" s="3"/>
      <c r="V113" s="3"/>
      <c r="W113" s="3">
        <v>0.91</v>
      </c>
      <c r="X113" s="2">
        <f t="shared" ref="X113" si="241">+S113+T113++U113+V113-W113</f>
        <v>17.16</v>
      </c>
      <c r="Y113" s="6">
        <f t="shared" ref="Y113" si="242">+Q113-X113</f>
        <v>11.390000000000004</v>
      </c>
      <c r="Z113" s="2"/>
      <c r="AA113" s="2"/>
      <c r="AB113" s="2"/>
      <c r="AC113" s="3"/>
      <c r="AD113" s="2"/>
      <c r="AE113" s="2"/>
      <c r="AF113" s="2"/>
      <c r="AG113" s="2"/>
      <c r="AH113" s="2" t="s">
        <v>8099</v>
      </c>
      <c r="AI113" s="2" t="s">
        <v>8098</v>
      </c>
      <c r="AJ113" s="2"/>
      <c r="AK113" s="2"/>
      <c r="AL113" s="2" t="s">
        <v>7826</v>
      </c>
      <c r="AM113" s="16" t="s">
        <v>8388</v>
      </c>
      <c r="AN113" s="2"/>
      <c r="AO113" s="2" t="s">
        <v>8378</v>
      </c>
      <c r="AP113" s="2" t="s">
        <v>8376</v>
      </c>
      <c r="AQ113" s="2" t="s">
        <v>8040</v>
      </c>
      <c r="AR113" s="16" t="s">
        <v>8195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3:58" ht="17.25" customHeight="1">
      <c r="C114" s="1">
        <v>44038</v>
      </c>
      <c r="E114" s="2" t="s">
        <v>8035</v>
      </c>
      <c r="F114" s="15"/>
      <c r="G114" s="2" t="s">
        <v>8093</v>
      </c>
      <c r="H114" s="2" t="s">
        <v>8092</v>
      </c>
      <c r="I114" s="2"/>
      <c r="J114" s="2">
        <v>1</v>
      </c>
      <c r="K114" s="2"/>
      <c r="L114" s="3">
        <v>33.85</v>
      </c>
      <c r="M114" s="3">
        <v>3.38</v>
      </c>
      <c r="N114" s="3">
        <v>1.89</v>
      </c>
      <c r="O114" s="3">
        <v>2.37</v>
      </c>
      <c r="P114" s="3">
        <f>2.37-2.37</f>
        <v>0</v>
      </c>
      <c r="Q114" s="6">
        <f t="shared" ref="Q114:Q116" si="243">+L114-M114-N114+P114</f>
        <v>28.580000000000002</v>
      </c>
      <c r="R114" s="3"/>
      <c r="S114" s="3">
        <v>16.649999999999999</v>
      </c>
      <c r="T114" s="3">
        <f>1.17-0.06</f>
        <v>1.1099999999999999</v>
      </c>
      <c r="U114" s="3"/>
      <c r="V114" s="3"/>
      <c r="W114" s="3">
        <v>0.83</v>
      </c>
      <c r="X114" s="2">
        <f t="shared" ref="X114:X116" si="244">+S114+T114++U114+V114-W114</f>
        <v>16.93</v>
      </c>
      <c r="Y114" s="6">
        <f t="shared" ref="Y114:Y116" si="245">+Q114-X114</f>
        <v>11.650000000000002</v>
      </c>
      <c r="Z114" s="2"/>
      <c r="AA114" s="2"/>
      <c r="AB114" s="2"/>
      <c r="AC114" s="3"/>
      <c r="AD114" s="2"/>
      <c r="AE114" s="2"/>
      <c r="AF114" s="2"/>
      <c r="AG114" s="2"/>
      <c r="AH114" s="2" t="s">
        <v>8095</v>
      </c>
      <c r="AI114" s="2" t="s">
        <v>8094</v>
      </c>
      <c r="AJ114" s="2"/>
      <c r="AK114" s="2"/>
      <c r="AL114" s="2" t="s">
        <v>7873</v>
      </c>
      <c r="AM114" s="16" t="s">
        <v>8468</v>
      </c>
      <c r="AN114" s="2"/>
      <c r="AO114" s="2" t="s">
        <v>8377</v>
      </c>
      <c r="AP114" s="2" t="s">
        <v>8376</v>
      </c>
      <c r="AQ114" s="2" t="s">
        <v>8040</v>
      </c>
      <c r="AR114" s="16" t="s">
        <v>8355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3:58" ht="17.25" customHeight="1">
      <c r="C115" s="1">
        <v>44038</v>
      </c>
      <c r="E115" s="2" t="s">
        <v>8061</v>
      </c>
      <c r="F115" s="15"/>
      <c r="G115" s="2" t="s">
        <v>8121</v>
      </c>
      <c r="H115" s="2" t="s">
        <v>8120</v>
      </c>
      <c r="I115" s="2"/>
      <c r="J115" s="2">
        <v>1</v>
      </c>
      <c r="K115" s="2"/>
      <c r="L115" s="3">
        <v>34.5</v>
      </c>
      <c r="M115" s="3">
        <v>3.45</v>
      </c>
      <c r="N115" s="3">
        <v>1.92</v>
      </c>
      <c r="O115" s="3">
        <v>2.29</v>
      </c>
      <c r="P115" s="3">
        <f>2.29-2.29</f>
        <v>0</v>
      </c>
      <c r="Q115" s="6">
        <f t="shared" si="243"/>
        <v>29.130000000000003</v>
      </c>
      <c r="R115" s="3"/>
      <c r="S115" s="3">
        <v>19.989999999999998</v>
      </c>
      <c r="T115" s="3">
        <v>1.33</v>
      </c>
      <c r="U115" s="3"/>
      <c r="V115" s="3"/>
      <c r="W115" s="3">
        <v>1</v>
      </c>
      <c r="X115" s="2">
        <f t="shared" si="244"/>
        <v>20.32</v>
      </c>
      <c r="Y115" s="6">
        <f t="shared" si="245"/>
        <v>8.8100000000000023</v>
      </c>
      <c r="Z115" s="2"/>
      <c r="AA115" s="2"/>
      <c r="AB115" s="2"/>
      <c r="AC115" s="3"/>
      <c r="AD115" s="2"/>
      <c r="AE115" s="2"/>
      <c r="AF115" s="2"/>
      <c r="AG115" s="2"/>
      <c r="AH115" s="2" t="s">
        <v>8123</v>
      </c>
      <c r="AI115" s="2" t="s">
        <v>8122</v>
      </c>
      <c r="AJ115" s="2"/>
      <c r="AK115" s="2"/>
      <c r="AL115" s="2" t="s">
        <v>7873</v>
      </c>
      <c r="AM115" s="16" t="s">
        <v>8469</v>
      </c>
      <c r="AN115" s="2"/>
      <c r="AO115" s="2" t="s">
        <v>8418</v>
      </c>
      <c r="AP115" s="2" t="s">
        <v>6929</v>
      </c>
      <c r="AQ115" s="2" t="s">
        <v>8061</v>
      </c>
      <c r="AR115" s="16" t="s">
        <v>8419</v>
      </c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3:58" ht="17.25" customHeight="1">
      <c r="C116" s="1">
        <v>44038</v>
      </c>
      <c r="E116" s="2" t="s">
        <v>61</v>
      </c>
      <c r="F116" s="15"/>
      <c r="G116" s="2" t="s">
        <v>8117</v>
      </c>
      <c r="H116" s="2" t="s">
        <v>8116</v>
      </c>
      <c r="I116" s="2"/>
      <c r="J116" s="2">
        <v>1</v>
      </c>
      <c r="K116" s="2"/>
      <c r="L116" s="3">
        <v>46.75</v>
      </c>
      <c r="M116" s="3">
        <v>4.67</v>
      </c>
      <c r="N116" s="3">
        <v>2.48</v>
      </c>
      <c r="O116" s="3">
        <v>2.81</v>
      </c>
      <c r="P116" s="3">
        <f>2.81-2.81</f>
        <v>0</v>
      </c>
      <c r="Q116" s="6">
        <f t="shared" si="243"/>
        <v>39.6</v>
      </c>
      <c r="R116" s="3"/>
      <c r="S116" s="3">
        <v>25.98</v>
      </c>
      <c r="T116" s="3">
        <v>1.86</v>
      </c>
      <c r="U116" s="3">
        <v>5</v>
      </c>
      <c r="V116" s="3"/>
      <c r="W116" s="3"/>
      <c r="X116" s="2">
        <f t="shared" si="244"/>
        <v>32.840000000000003</v>
      </c>
      <c r="Y116" s="6">
        <f t="shared" si="245"/>
        <v>6.759999999999998</v>
      </c>
      <c r="Z116" s="2"/>
      <c r="AA116" s="2"/>
      <c r="AB116" s="2"/>
      <c r="AC116" s="3"/>
      <c r="AD116" s="2"/>
      <c r="AE116" s="2"/>
      <c r="AF116" s="2"/>
      <c r="AG116" s="2"/>
      <c r="AH116" s="2" t="s">
        <v>8119</v>
      </c>
      <c r="AI116" s="2" t="s">
        <v>8118</v>
      </c>
      <c r="AJ116" s="2"/>
      <c r="AK116" s="2"/>
      <c r="AL116" s="2" t="s">
        <v>7833</v>
      </c>
      <c r="AM116" s="2" t="s">
        <v>8747</v>
      </c>
      <c r="AN116" s="2"/>
      <c r="AO116" s="16" t="s">
        <v>8413</v>
      </c>
      <c r="AP116" s="2" t="s">
        <v>8081</v>
      </c>
      <c r="AQ116" s="2" t="s">
        <v>8100</v>
      </c>
      <c r="AR116" s="16" t="s">
        <v>8380</v>
      </c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3:58" ht="17.25" customHeight="1">
      <c r="C117" s="1">
        <v>44038</v>
      </c>
      <c r="E117" s="2" t="s">
        <v>8035</v>
      </c>
      <c r="F117" s="15"/>
      <c r="G117" s="2" t="s">
        <v>8089</v>
      </c>
      <c r="H117" s="2" t="s">
        <v>8088</v>
      </c>
      <c r="I117" s="2"/>
      <c r="J117" s="2">
        <v>1</v>
      </c>
      <c r="K117" s="2"/>
      <c r="L117" s="3">
        <v>33.85</v>
      </c>
      <c r="M117" s="3">
        <v>3.38</v>
      </c>
      <c r="N117" s="3">
        <v>1.94</v>
      </c>
      <c r="O117" s="3">
        <v>3.52</v>
      </c>
      <c r="P117" s="3">
        <f>3.52-3.52</f>
        <v>0</v>
      </c>
      <c r="Q117" s="6">
        <f t="shared" ref="Q117" si="246">+L117-M117-N117+P117</f>
        <v>28.53</v>
      </c>
      <c r="R117" s="3"/>
      <c r="S117" s="3">
        <v>18.98</v>
      </c>
      <c r="T117" s="3">
        <f>1.97-0.08</f>
        <v>1.89</v>
      </c>
      <c r="U117" s="3"/>
      <c r="V117" s="3"/>
      <c r="W117" s="3">
        <f>0.95+0.84</f>
        <v>1.79</v>
      </c>
      <c r="X117" s="2">
        <f t="shared" ref="X117" si="247">+S117+T117++U117+V117-W117</f>
        <v>19.080000000000002</v>
      </c>
      <c r="Y117" s="6">
        <f t="shared" ref="Y117" si="248">+Q117-X117</f>
        <v>9.4499999999999993</v>
      </c>
      <c r="Z117" s="2"/>
      <c r="AA117" s="2"/>
      <c r="AB117" s="2"/>
      <c r="AC117" s="3"/>
      <c r="AD117" s="2"/>
      <c r="AE117" s="2"/>
      <c r="AF117" s="2"/>
      <c r="AG117" s="2"/>
      <c r="AH117" s="2" t="s">
        <v>8091</v>
      </c>
      <c r="AI117" s="2" t="s">
        <v>8090</v>
      </c>
      <c r="AJ117" s="2"/>
      <c r="AK117" s="2"/>
      <c r="AL117" s="2" t="s">
        <v>7873</v>
      </c>
      <c r="AM117" s="16" t="s">
        <v>8390</v>
      </c>
      <c r="AN117" s="2"/>
      <c r="AO117" s="2" t="s">
        <v>8375</v>
      </c>
      <c r="AP117" s="2" t="s">
        <v>8376</v>
      </c>
      <c r="AQ117" s="2" t="s">
        <v>8040</v>
      </c>
      <c r="AR117" s="16" t="s">
        <v>8359</v>
      </c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3:58" ht="17.25" customHeight="1">
      <c r="C118" s="1">
        <v>44038</v>
      </c>
      <c r="E118" s="2" t="s">
        <v>7672</v>
      </c>
      <c r="F118" s="15"/>
      <c r="G118" s="2" t="s">
        <v>8084</v>
      </c>
      <c r="H118" s="2" t="s">
        <v>8083</v>
      </c>
      <c r="I118" s="2"/>
      <c r="J118" s="2">
        <v>1</v>
      </c>
      <c r="K118" s="2"/>
      <c r="L118" s="3">
        <v>35.5</v>
      </c>
      <c r="M118" s="3">
        <v>3.55</v>
      </c>
      <c r="N118" s="3">
        <v>1.96</v>
      </c>
      <c r="O118" s="3">
        <v>2.13</v>
      </c>
      <c r="P118" s="3">
        <f>2.13-2.13</f>
        <v>0</v>
      </c>
      <c r="Q118" s="6">
        <f t="shared" ref="Q118" si="249">+L118-M118-N118+P118</f>
        <v>29.99</v>
      </c>
      <c r="R118" s="3"/>
      <c r="S118" s="3">
        <v>17.989999999999998</v>
      </c>
      <c r="T118" s="3">
        <v>1.08</v>
      </c>
      <c r="U118" s="3"/>
      <c r="V118" s="3"/>
      <c r="W118" s="3">
        <v>0.9</v>
      </c>
      <c r="X118" s="2">
        <f t="shared" ref="X118" si="250">+S118+T118++U118+V118-W118</f>
        <v>18.170000000000002</v>
      </c>
      <c r="Y118" s="6">
        <f t="shared" ref="Y118" si="251">+Q118-X118</f>
        <v>11.819999999999997</v>
      </c>
      <c r="Z118" s="2"/>
      <c r="AA118" s="2"/>
      <c r="AB118" s="2"/>
      <c r="AC118" s="3"/>
      <c r="AD118" s="2"/>
      <c r="AE118" s="2"/>
      <c r="AF118" s="2"/>
      <c r="AG118" s="2"/>
      <c r="AH118" s="2" t="s">
        <v>8086</v>
      </c>
      <c r="AI118" s="2" t="s">
        <v>8085</v>
      </c>
      <c r="AJ118" s="2"/>
      <c r="AK118" s="2"/>
      <c r="AL118" s="2" t="s">
        <v>7833</v>
      </c>
      <c r="AM118" s="16" t="s">
        <v>8511</v>
      </c>
      <c r="AN118" s="2"/>
      <c r="AO118" s="2" t="s">
        <v>8420</v>
      </c>
      <c r="AP118" s="2" t="s">
        <v>6929</v>
      </c>
      <c r="AQ118" s="2" t="s">
        <v>8087</v>
      </c>
      <c r="AR118" s="16" t="s">
        <v>8195</v>
      </c>
      <c r="AS118" s="2" t="s">
        <v>8366</v>
      </c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3:58" ht="17.25" customHeight="1">
      <c r="C119" s="1">
        <v>44038</v>
      </c>
      <c r="E119" s="2" t="s">
        <v>8035</v>
      </c>
      <c r="F119" s="15"/>
      <c r="G119" s="2" t="s">
        <v>8076</v>
      </c>
      <c r="H119" s="2" t="s">
        <v>8075</v>
      </c>
      <c r="I119" s="2"/>
      <c r="J119" s="2">
        <v>1</v>
      </c>
      <c r="K119" s="2"/>
      <c r="L119" s="3">
        <v>33.85</v>
      </c>
      <c r="M119" s="3">
        <v>3.38</v>
      </c>
      <c r="N119" s="3">
        <v>1.9</v>
      </c>
      <c r="O119" s="3">
        <v>2.4500000000000002</v>
      </c>
      <c r="P119" s="3">
        <f>2.45-2.45</f>
        <v>0</v>
      </c>
      <c r="Q119" s="6">
        <f t="shared" ref="Q119" si="252">+L119-M119-N119+P119</f>
        <v>28.570000000000004</v>
      </c>
      <c r="R119" s="3"/>
      <c r="S119" s="3">
        <v>18.149999999999999</v>
      </c>
      <c r="T119" s="3">
        <v>1.32</v>
      </c>
      <c r="U119" s="3"/>
      <c r="V119" s="3"/>
      <c r="W119" s="3">
        <v>0.91</v>
      </c>
      <c r="X119" s="2">
        <f t="shared" ref="X119" si="253">+S119+T119++U119+V119-W119</f>
        <v>18.559999999999999</v>
      </c>
      <c r="Y119" s="6">
        <f t="shared" ref="Y119" si="254">+Q119-X119</f>
        <v>10.010000000000005</v>
      </c>
      <c r="Z119" s="2"/>
      <c r="AA119" s="2"/>
      <c r="AB119" s="2"/>
      <c r="AC119" s="3"/>
      <c r="AD119" s="2"/>
      <c r="AE119" s="2"/>
      <c r="AF119" s="2"/>
      <c r="AG119" s="2"/>
      <c r="AH119" s="2" t="s">
        <v>8078</v>
      </c>
      <c r="AI119" s="2" t="s">
        <v>8077</v>
      </c>
      <c r="AJ119" s="2"/>
      <c r="AK119" s="2"/>
      <c r="AL119" s="2" t="s">
        <v>7873</v>
      </c>
      <c r="AM119" s="16" t="s">
        <v>8387</v>
      </c>
      <c r="AN119" s="2"/>
      <c r="AO119" s="2" t="s">
        <v>8368</v>
      </c>
      <c r="AP119" s="2" t="s">
        <v>6929</v>
      </c>
      <c r="AQ119" s="2" t="s">
        <v>8040</v>
      </c>
      <c r="AR119" s="16" t="s">
        <v>8359</v>
      </c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3:58" ht="17.25" customHeight="1">
      <c r="C120" s="1">
        <v>44038</v>
      </c>
      <c r="E120" s="2" t="s">
        <v>8035</v>
      </c>
      <c r="F120" s="15"/>
      <c r="G120" s="2" t="s">
        <v>8072</v>
      </c>
      <c r="H120" s="2" t="s">
        <v>8071</v>
      </c>
      <c r="I120" s="2"/>
      <c r="J120" s="2">
        <v>1</v>
      </c>
      <c r="K120" s="2"/>
      <c r="L120" s="3">
        <v>33.85</v>
      </c>
      <c r="M120" s="3">
        <v>3.38</v>
      </c>
      <c r="N120" s="3">
        <v>1.89</v>
      </c>
      <c r="O120" s="3">
        <v>0</v>
      </c>
      <c r="P120" s="3">
        <v>2.37</v>
      </c>
      <c r="Q120" s="6">
        <f t="shared" ref="Q120" si="255">+L120-M120-N120+P120</f>
        <v>30.950000000000003</v>
      </c>
      <c r="R120" s="3"/>
      <c r="S120" s="3">
        <v>18.149999999999999</v>
      </c>
      <c r="T120" s="3">
        <v>1.36</v>
      </c>
      <c r="U120" s="3"/>
      <c r="V120" s="3"/>
      <c r="W120" s="3">
        <v>0.92</v>
      </c>
      <c r="X120" s="2">
        <f t="shared" ref="X120" si="256">+S120+T120++U120+V120-W120</f>
        <v>18.589999999999996</v>
      </c>
      <c r="Y120" s="6">
        <f t="shared" ref="Y120" si="257">+Q120-X120</f>
        <v>12.360000000000007</v>
      </c>
      <c r="Z120" s="2"/>
      <c r="AA120" s="2"/>
      <c r="AB120" s="2"/>
      <c r="AC120" s="3"/>
      <c r="AD120" s="2"/>
      <c r="AE120" s="2"/>
      <c r="AF120" s="2"/>
      <c r="AG120" s="2"/>
      <c r="AH120" s="2" t="s">
        <v>8074</v>
      </c>
      <c r="AI120" s="2" t="s">
        <v>8073</v>
      </c>
      <c r="AJ120" s="2"/>
      <c r="AK120" s="2"/>
      <c r="AL120" s="2" t="s">
        <v>7873</v>
      </c>
      <c r="AM120" s="16" t="s">
        <v>8389</v>
      </c>
      <c r="AN120" s="2"/>
      <c r="AO120" s="2" t="s">
        <v>8373</v>
      </c>
      <c r="AP120" s="2" t="s">
        <v>6929</v>
      </c>
      <c r="AQ120" s="2" t="s">
        <v>8040</v>
      </c>
      <c r="AR120" s="16" t="s">
        <v>8359</v>
      </c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3:58" ht="17.25" customHeight="1">
      <c r="C121" s="1">
        <v>44038</v>
      </c>
      <c r="E121" s="2" t="s">
        <v>8061</v>
      </c>
      <c r="F121" s="15"/>
      <c r="G121" s="2" t="s">
        <v>8068</v>
      </c>
      <c r="H121" s="2" t="s">
        <v>8067</v>
      </c>
      <c r="I121" s="2"/>
      <c r="J121" s="2">
        <v>1</v>
      </c>
      <c r="K121" s="2"/>
      <c r="L121" s="3">
        <v>34.5</v>
      </c>
      <c r="M121" s="3">
        <v>3.45</v>
      </c>
      <c r="N121" s="3">
        <v>1.92</v>
      </c>
      <c r="O121" s="3">
        <v>0</v>
      </c>
      <c r="P121" s="3">
        <v>2.42</v>
      </c>
      <c r="Q121" s="6">
        <f t="shared" ref="Q121" si="258">+L121-M121-N121+P121</f>
        <v>31.550000000000004</v>
      </c>
      <c r="R121" s="3"/>
      <c r="S121" s="3">
        <v>12.84</v>
      </c>
      <c r="T121" s="3">
        <v>0.9</v>
      </c>
      <c r="U121" s="3"/>
      <c r="V121" s="3"/>
      <c r="W121" s="3">
        <v>0.64</v>
      </c>
      <c r="X121" s="2">
        <f t="shared" ref="X121" si="259">+S121+T121++U121+V121-W121</f>
        <v>13.1</v>
      </c>
      <c r="Y121" s="6">
        <f t="shared" ref="Y121" si="260">+Q121-X121</f>
        <v>18.450000000000003</v>
      </c>
      <c r="Z121" s="2"/>
      <c r="AA121" s="2"/>
      <c r="AB121" s="2"/>
      <c r="AC121" s="3"/>
      <c r="AD121" s="2"/>
      <c r="AE121" s="2"/>
      <c r="AF121" s="2"/>
      <c r="AG121" s="2"/>
      <c r="AH121" s="2" t="s">
        <v>8070</v>
      </c>
      <c r="AI121" s="2" t="s">
        <v>8069</v>
      </c>
      <c r="AJ121" s="2"/>
      <c r="AK121" s="2"/>
      <c r="AL121" s="2" t="s">
        <v>7873</v>
      </c>
      <c r="AM121" s="16" t="s">
        <v>8510</v>
      </c>
      <c r="AN121" s="2"/>
      <c r="AO121" s="2" t="s">
        <v>8417</v>
      </c>
      <c r="AP121" s="2" t="s">
        <v>6929</v>
      </c>
      <c r="AQ121" s="2" t="s">
        <v>1047</v>
      </c>
      <c r="AR121" s="16" t="s">
        <v>8195</v>
      </c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3:58" ht="17.25" customHeight="1">
      <c r="C122" s="1">
        <v>44038</v>
      </c>
      <c r="E122" s="2" t="s">
        <v>8060</v>
      </c>
      <c r="F122" s="15"/>
      <c r="G122" s="2" t="s">
        <v>8063</v>
      </c>
      <c r="H122" s="2" t="s">
        <v>8062</v>
      </c>
      <c r="I122" s="2"/>
      <c r="J122" s="2">
        <v>1</v>
      </c>
      <c r="K122" s="2"/>
      <c r="L122" s="3">
        <v>13.5</v>
      </c>
      <c r="M122" s="3">
        <v>1.35</v>
      </c>
      <c r="N122" s="3">
        <v>0.95</v>
      </c>
      <c r="O122" s="3">
        <v>0</v>
      </c>
      <c r="P122" s="3">
        <v>1.22</v>
      </c>
      <c r="Q122" s="6">
        <f t="shared" ref="Q122:Q123" si="261">+L122-M122-N122+P122</f>
        <v>12.420000000000002</v>
      </c>
      <c r="R122" s="3"/>
      <c r="S122" s="3">
        <v>7.42</v>
      </c>
      <c r="T122" s="3">
        <v>0.67</v>
      </c>
      <c r="U122" s="3"/>
      <c r="V122" s="3"/>
      <c r="W122" s="3">
        <v>0.37</v>
      </c>
      <c r="X122" s="2">
        <f t="shared" ref="X122" si="262">+S122+T122++U122+V122-W122</f>
        <v>7.72</v>
      </c>
      <c r="Y122" s="6">
        <f t="shared" ref="Y122" si="263">+Q122-X122</f>
        <v>4.700000000000002</v>
      </c>
      <c r="Z122" s="6">
        <f>SUM(Y110:Y122)</f>
        <v>122.80000000000001</v>
      </c>
      <c r="AA122" s="34">
        <f>SUM(J110:J122)</f>
        <v>13</v>
      </c>
      <c r="AB122" s="2"/>
      <c r="AC122" s="3"/>
      <c r="AD122" s="2"/>
      <c r="AE122" s="2"/>
      <c r="AF122" s="2"/>
      <c r="AG122" s="2"/>
      <c r="AH122" s="2" t="s">
        <v>8065</v>
      </c>
      <c r="AI122" s="2" t="s">
        <v>8064</v>
      </c>
      <c r="AJ122" s="2"/>
      <c r="AK122" s="2"/>
      <c r="AL122" s="2" t="s">
        <v>7873</v>
      </c>
      <c r="AM122" s="16" t="s">
        <v>8466</v>
      </c>
      <c r="AN122" s="2"/>
      <c r="AO122" s="2" t="s">
        <v>8411</v>
      </c>
      <c r="AP122" s="2" t="s">
        <v>6929</v>
      </c>
      <c r="AQ122" s="2" t="s">
        <v>8066</v>
      </c>
      <c r="AR122" s="19" t="s">
        <v>8359</v>
      </c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3:58" ht="17.25" customHeight="1">
      <c r="C123" s="1">
        <v>44037</v>
      </c>
      <c r="E123" s="2" t="s">
        <v>7943</v>
      </c>
      <c r="F123" s="15"/>
      <c r="G123" s="2" t="s">
        <v>8046</v>
      </c>
      <c r="H123" s="2" t="s">
        <v>8045</v>
      </c>
      <c r="I123" s="2"/>
      <c r="J123" s="2">
        <v>1</v>
      </c>
      <c r="K123" s="2"/>
      <c r="L123" s="3">
        <v>17.5</v>
      </c>
      <c r="M123" s="3">
        <v>1.75</v>
      </c>
      <c r="N123" s="3">
        <v>1.1200000000000001</v>
      </c>
      <c r="O123" s="3">
        <v>1.05</v>
      </c>
      <c r="P123" s="3">
        <f>1.05-1.05</f>
        <v>0</v>
      </c>
      <c r="Q123" s="6">
        <f t="shared" si="261"/>
        <v>14.629999999999999</v>
      </c>
      <c r="R123" s="3"/>
      <c r="S123" s="3">
        <v>9.44</v>
      </c>
      <c r="T123" s="3">
        <v>0.56999999999999995</v>
      </c>
      <c r="U123" s="3"/>
      <c r="V123" s="3"/>
      <c r="W123" s="3">
        <v>0.5</v>
      </c>
      <c r="X123" s="2">
        <f t="shared" ref="X123" si="264">+S123+T123++U123+V123-W123</f>
        <v>9.51</v>
      </c>
      <c r="Y123" s="6">
        <f t="shared" ref="Y123" si="265">+Q123-X123</f>
        <v>5.1199999999999992</v>
      </c>
      <c r="Z123" s="2"/>
      <c r="AA123" s="2"/>
      <c r="AB123" s="2"/>
      <c r="AC123" s="3"/>
      <c r="AD123" s="2"/>
      <c r="AE123" s="2"/>
      <c r="AF123" s="2"/>
      <c r="AG123" s="2"/>
      <c r="AH123" s="2" t="s">
        <v>8048</v>
      </c>
      <c r="AI123" s="2" t="s">
        <v>8047</v>
      </c>
      <c r="AJ123" s="2"/>
      <c r="AK123" s="2"/>
      <c r="AL123" s="2" t="s">
        <v>7826</v>
      </c>
      <c r="AM123" s="2" t="s">
        <v>8276</v>
      </c>
      <c r="AN123" s="2"/>
      <c r="AO123" s="2" t="s">
        <v>8275</v>
      </c>
      <c r="AP123" s="2" t="s">
        <v>6929</v>
      </c>
      <c r="AQ123" s="2" t="s">
        <v>8005</v>
      </c>
      <c r="AR123" s="16" t="s">
        <v>8267</v>
      </c>
      <c r="AS123" s="5" t="s">
        <v>8366</v>
      </c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3:58" ht="17.25" customHeight="1">
      <c r="C124" s="1">
        <v>44037</v>
      </c>
      <c r="E124" s="2" t="s">
        <v>6044</v>
      </c>
      <c r="F124" s="15"/>
      <c r="G124" s="2" t="s">
        <v>8042</v>
      </c>
      <c r="H124" s="2" t="s">
        <v>8041</v>
      </c>
      <c r="I124" s="2"/>
      <c r="J124" s="2">
        <v>1</v>
      </c>
      <c r="K124" s="2"/>
      <c r="L124" s="3">
        <v>84.5</v>
      </c>
      <c r="M124" s="3">
        <v>8.4499999999999993</v>
      </c>
      <c r="N124" s="3">
        <v>4.3499999999999996</v>
      </c>
      <c r="O124" s="3">
        <v>7.5</v>
      </c>
      <c r="P124" s="3">
        <f>7.5-7.5</f>
        <v>0</v>
      </c>
      <c r="Q124" s="6">
        <f t="shared" ref="Q124" si="266">+L124-M124-N124+P124</f>
        <v>71.7</v>
      </c>
      <c r="R124" s="3"/>
      <c r="S124" s="3">
        <v>65.19</v>
      </c>
      <c r="T124" s="3">
        <v>5.79</v>
      </c>
      <c r="U124" s="3"/>
      <c r="V124" s="3"/>
      <c r="W124" s="3">
        <v>6.51</v>
      </c>
      <c r="X124" s="2">
        <f t="shared" ref="X124" si="267">+S124+T124++U124+V124-W124</f>
        <v>64.47</v>
      </c>
      <c r="Y124" s="6">
        <f t="shared" ref="Y124" si="268">+Q124-X124</f>
        <v>7.230000000000004</v>
      </c>
      <c r="Z124" s="2"/>
      <c r="AA124" s="2"/>
      <c r="AB124" s="2"/>
      <c r="AC124" s="3"/>
      <c r="AD124" s="2"/>
      <c r="AE124" s="2"/>
      <c r="AF124" s="2"/>
      <c r="AG124" s="2"/>
      <c r="AH124" s="2" t="s">
        <v>8044</v>
      </c>
      <c r="AI124" s="2" t="s">
        <v>8043</v>
      </c>
      <c r="AJ124" s="2"/>
      <c r="AK124" s="2"/>
      <c r="AL124" s="2"/>
      <c r="AM124" s="2"/>
      <c r="AN124" s="2"/>
      <c r="AO124" s="2" t="s">
        <v>8512</v>
      </c>
      <c r="AP124" s="2" t="s">
        <v>7754</v>
      </c>
      <c r="AQ124" s="2" t="s">
        <v>7857</v>
      </c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ht="17.25" customHeight="1">
      <c r="C125" s="1">
        <v>44037</v>
      </c>
      <c r="E125" s="2" t="s">
        <v>8035</v>
      </c>
      <c r="F125" s="15"/>
      <c r="G125" s="2" t="s">
        <v>8037</v>
      </c>
      <c r="H125" s="2" t="s">
        <v>8036</v>
      </c>
      <c r="I125" s="2"/>
      <c r="J125" s="2">
        <v>1</v>
      </c>
      <c r="K125" s="2"/>
      <c r="L125" s="3">
        <v>34.85</v>
      </c>
      <c r="M125" s="3">
        <v>3.48</v>
      </c>
      <c r="N125" s="3">
        <v>1.94</v>
      </c>
      <c r="O125" s="3">
        <v>2.44</v>
      </c>
      <c r="P125" s="3">
        <f>2.44-2.44</f>
        <v>0</v>
      </c>
      <c r="Q125" s="6">
        <f t="shared" ref="Q125" si="269">+L125-M125-N125+P125</f>
        <v>29.43</v>
      </c>
      <c r="R125" s="3"/>
      <c r="S125" s="3">
        <v>18.98</v>
      </c>
      <c r="T125" s="3">
        <v>1.33</v>
      </c>
      <c r="U125" s="3"/>
      <c r="V125" s="3"/>
      <c r="W125" s="3">
        <v>0.95</v>
      </c>
      <c r="X125" s="2">
        <f t="shared" ref="X125" si="270">+S125+T125++U125+V125-W125</f>
        <v>19.360000000000003</v>
      </c>
      <c r="Y125" s="6">
        <f t="shared" ref="Y125" si="271">+Q125-X125</f>
        <v>10.069999999999997</v>
      </c>
      <c r="Z125" s="2"/>
      <c r="AA125" s="2"/>
      <c r="AB125" s="2"/>
      <c r="AC125" s="3"/>
      <c r="AD125" s="2"/>
      <c r="AE125" s="2"/>
      <c r="AF125" s="2"/>
      <c r="AG125" s="2"/>
      <c r="AH125" s="2" t="s">
        <v>8039</v>
      </c>
      <c r="AI125" s="2" t="s">
        <v>8038</v>
      </c>
      <c r="AJ125" s="2"/>
      <c r="AK125" s="2"/>
      <c r="AL125" s="2" t="s">
        <v>7873</v>
      </c>
      <c r="AM125" s="16" t="s">
        <v>8129</v>
      </c>
      <c r="AN125" s="2"/>
      <c r="AO125" s="2" t="s">
        <v>8058</v>
      </c>
      <c r="AP125" s="2" t="s">
        <v>6929</v>
      </c>
      <c r="AQ125" s="2" t="s">
        <v>8040</v>
      </c>
      <c r="AR125" s="16" t="s">
        <v>8059</v>
      </c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ht="17.25" customHeight="1">
      <c r="C126" s="1">
        <v>44037</v>
      </c>
      <c r="E126" s="2" t="s">
        <v>7943</v>
      </c>
      <c r="F126" s="15"/>
      <c r="G126" s="2" t="s">
        <v>8028</v>
      </c>
      <c r="H126" s="2" t="s">
        <v>8027</v>
      </c>
      <c r="I126" s="2"/>
      <c r="J126" s="2">
        <v>1</v>
      </c>
      <c r="K126" s="2"/>
      <c r="L126" s="3">
        <v>17.5</v>
      </c>
      <c r="M126" s="3">
        <v>1.75</v>
      </c>
      <c r="N126" s="3">
        <v>1.1200000000000001</v>
      </c>
      <c r="O126" s="3">
        <v>1.23</v>
      </c>
      <c r="P126" s="3">
        <f>1.23-1.23</f>
        <v>0</v>
      </c>
      <c r="Q126" s="6">
        <f t="shared" ref="Q126" si="272">+L126-M126-N126+P126</f>
        <v>14.629999999999999</v>
      </c>
      <c r="R126" s="3"/>
      <c r="S126" s="3">
        <v>6.99</v>
      </c>
      <c r="T126" s="3">
        <v>0.42</v>
      </c>
      <c r="U126" s="3"/>
      <c r="V126" s="3"/>
      <c r="W126" s="3">
        <v>0.35</v>
      </c>
      <c r="X126" s="2">
        <f t="shared" ref="X126" si="273">+S126+T126++U126+V126-W126</f>
        <v>7.0600000000000005</v>
      </c>
      <c r="Y126" s="6">
        <f t="shared" ref="Y126" si="274">+Q126-X126</f>
        <v>7.5699999999999985</v>
      </c>
      <c r="Z126" s="6">
        <f>SUM(Y123:Y126)</f>
        <v>29.990000000000002</v>
      </c>
      <c r="AA126" s="34">
        <f>SUM(J123:J126)</f>
        <v>4</v>
      </c>
      <c r="AB126" s="2"/>
      <c r="AC126" s="3"/>
      <c r="AD126" s="2"/>
      <c r="AE126" s="2"/>
      <c r="AF126" s="2"/>
      <c r="AG126" s="2"/>
      <c r="AH126" s="2" t="s">
        <v>8031</v>
      </c>
      <c r="AI126" s="2" t="s">
        <v>8030</v>
      </c>
      <c r="AJ126" s="2"/>
      <c r="AK126" s="2"/>
      <c r="AL126" s="2" t="s">
        <v>7833</v>
      </c>
      <c r="AM126" s="2" t="s">
        <v>8384</v>
      </c>
      <c r="AN126" s="2"/>
      <c r="AO126" s="2" t="s">
        <v>8220</v>
      </c>
      <c r="AP126" s="2" t="s">
        <v>6929</v>
      </c>
      <c r="AQ126" s="2" t="s">
        <v>8005</v>
      </c>
      <c r="AR126" s="16" t="s">
        <v>8195</v>
      </c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ht="17.25" customHeight="1">
      <c r="C127" s="1">
        <v>44036</v>
      </c>
      <c r="E127" s="2" t="s">
        <v>7943</v>
      </c>
      <c r="F127" s="15"/>
      <c r="G127" s="2" t="s">
        <v>8002</v>
      </c>
      <c r="H127" s="2" t="s">
        <v>8001</v>
      </c>
      <c r="I127" s="2"/>
      <c r="J127" s="2">
        <v>1</v>
      </c>
      <c r="K127" s="2"/>
      <c r="L127" s="3">
        <v>17.5</v>
      </c>
      <c r="M127" s="3">
        <v>1.75</v>
      </c>
      <c r="N127" s="3">
        <v>1.1100000000000001</v>
      </c>
      <c r="O127" s="3">
        <v>1.02</v>
      </c>
      <c r="P127" s="3">
        <f>1.02-1.02</f>
        <v>0</v>
      </c>
      <c r="Q127" s="6">
        <f t="shared" ref="Q127" si="275">+L127-M127-N127+P127</f>
        <v>14.64</v>
      </c>
      <c r="R127" s="3"/>
      <c r="S127" s="3">
        <v>6.99</v>
      </c>
      <c r="T127" s="3">
        <v>0.41</v>
      </c>
      <c r="U127" s="3"/>
      <c r="V127" s="3"/>
      <c r="W127" s="3">
        <v>0.35</v>
      </c>
      <c r="X127" s="2">
        <f t="shared" ref="X127:X128" si="276">+S127+T127++U127+V127-W127</f>
        <v>7.0500000000000007</v>
      </c>
      <c r="Y127" s="6">
        <f t="shared" ref="Y127" si="277">+Q127-X127</f>
        <v>7.59</v>
      </c>
      <c r="Z127" s="2"/>
      <c r="AA127" s="2"/>
      <c r="AB127" s="2"/>
      <c r="AC127" s="3"/>
      <c r="AD127" s="2"/>
      <c r="AE127" s="2"/>
      <c r="AF127" s="2"/>
      <c r="AG127" s="2"/>
      <c r="AH127" s="2" t="s">
        <v>8004</v>
      </c>
      <c r="AI127" s="2" t="s">
        <v>8003</v>
      </c>
      <c r="AJ127" s="2"/>
      <c r="AK127" s="2"/>
      <c r="AL127" s="2" t="s">
        <v>7873</v>
      </c>
      <c r="AM127" s="16" t="s">
        <v>8278</v>
      </c>
      <c r="AN127" s="2"/>
      <c r="AO127" s="2" t="s">
        <v>8219</v>
      </c>
      <c r="AP127" s="2" t="s">
        <v>6929</v>
      </c>
      <c r="AQ127" s="2" t="s">
        <v>8005</v>
      </c>
      <c r="AR127" s="16" t="s">
        <v>8136</v>
      </c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ht="17.25" customHeight="1">
      <c r="C128" s="1">
        <v>44036</v>
      </c>
      <c r="E128" s="2" t="s">
        <v>7984</v>
      </c>
      <c r="F128" s="15"/>
      <c r="G128" s="2" t="s">
        <v>7990</v>
      </c>
      <c r="H128" s="16" t="s">
        <v>7989</v>
      </c>
      <c r="I128" s="2"/>
      <c r="J128" s="2">
        <v>1</v>
      </c>
      <c r="K128" s="2"/>
      <c r="L128" s="3">
        <v>18.8</v>
      </c>
      <c r="M128" s="3">
        <v>1.88</v>
      </c>
      <c r="N128" s="3">
        <v>1.19</v>
      </c>
      <c r="O128" s="3"/>
      <c r="P128" s="3">
        <v>1.32</v>
      </c>
      <c r="Q128" s="6">
        <f t="shared" ref="Q128" si="278">+L128-M128-N128+P128</f>
        <v>17.05</v>
      </c>
      <c r="R128" s="3"/>
      <c r="S128" s="3">
        <v>12.49</v>
      </c>
      <c r="T128" s="3">
        <v>0.87</v>
      </c>
      <c r="U128" s="3"/>
      <c r="V128" s="3"/>
      <c r="W128" s="3">
        <v>0.62</v>
      </c>
      <c r="X128" s="2">
        <f t="shared" si="276"/>
        <v>12.74</v>
      </c>
      <c r="Y128" s="6">
        <f t="shared" ref="Y128" si="279">+Q128-X128</f>
        <v>4.3100000000000005</v>
      </c>
      <c r="Z128" s="2"/>
      <c r="AA128" s="2"/>
      <c r="AB128" s="2"/>
      <c r="AC128" s="3"/>
      <c r="AD128" s="2"/>
      <c r="AE128" s="2"/>
      <c r="AF128" s="2"/>
      <c r="AG128" s="2"/>
      <c r="AH128" s="2" t="s">
        <v>7992</v>
      </c>
      <c r="AI128" s="2" t="s">
        <v>7991</v>
      </c>
      <c r="AJ128" s="2"/>
      <c r="AK128" s="2"/>
      <c r="AL128" s="2" t="s">
        <v>7826</v>
      </c>
      <c r="AM128" s="2" t="s">
        <v>8357</v>
      </c>
      <c r="AN128" s="2"/>
      <c r="AO128" s="2" t="s">
        <v>8285</v>
      </c>
      <c r="AP128" s="2" t="s">
        <v>6929</v>
      </c>
      <c r="AQ128" s="2" t="s">
        <v>7983</v>
      </c>
      <c r="AR128" s="16" t="s">
        <v>8374</v>
      </c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ht="17.25" customHeight="1">
      <c r="C129" s="1">
        <v>44036</v>
      </c>
      <c r="E129" s="2" t="s">
        <v>7984</v>
      </c>
      <c r="F129" s="15"/>
      <c r="G129" s="2" t="s">
        <v>7994</v>
      </c>
      <c r="H129" s="2" t="s">
        <v>7993</v>
      </c>
      <c r="I129" s="2"/>
      <c r="J129" s="2">
        <v>1</v>
      </c>
      <c r="K129" s="2"/>
      <c r="L129" s="3">
        <v>18.8</v>
      </c>
      <c r="M129" s="3">
        <v>1.88</v>
      </c>
      <c r="N129" s="3">
        <v>1.19</v>
      </c>
      <c r="O129" s="3">
        <v>1.32</v>
      </c>
      <c r="P129" s="3">
        <f>1.32-1.32</f>
        <v>0</v>
      </c>
      <c r="Q129" s="6">
        <f t="shared" ref="Q129" si="280">+L129-M129-N129+P129</f>
        <v>15.730000000000002</v>
      </c>
      <c r="R129" s="3"/>
      <c r="S129" s="3">
        <v>12.49</v>
      </c>
      <c r="T129" s="3">
        <v>0.87</v>
      </c>
      <c r="U129" s="3"/>
      <c r="V129" s="3"/>
      <c r="W129" s="3">
        <v>0.62</v>
      </c>
      <c r="X129" s="2">
        <f t="shared" ref="X129" si="281">+S129+T129++U129+V129-W129</f>
        <v>12.74</v>
      </c>
      <c r="Y129" s="6">
        <f t="shared" ref="Y129" si="282">+Q129-X129</f>
        <v>2.990000000000002</v>
      </c>
      <c r="Z129" s="2"/>
      <c r="AA129" s="2"/>
      <c r="AB129" s="2"/>
      <c r="AC129" s="3"/>
      <c r="AD129" s="2"/>
      <c r="AE129" s="2"/>
      <c r="AF129" s="2"/>
      <c r="AG129" s="2"/>
      <c r="AH129" s="2" t="s">
        <v>7996</v>
      </c>
      <c r="AI129" s="2" t="s">
        <v>7995</v>
      </c>
      <c r="AJ129" s="2"/>
      <c r="AK129" s="2"/>
      <c r="AL129" s="2" t="s">
        <v>7826</v>
      </c>
      <c r="AM129" s="16" t="s">
        <v>8382</v>
      </c>
      <c r="AN129" s="2"/>
      <c r="AO129" s="2" t="s">
        <v>8284</v>
      </c>
      <c r="AP129" s="2" t="s">
        <v>6929</v>
      </c>
      <c r="AQ129" s="2" t="s">
        <v>7983</v>
      </c>
      <c r="AR129" s="16" t="s">
        <v>8051</v>
      </c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ht="17.25" customHeight="1">
      <c r="C130" s="1">
        <v>44036</v>
      </c>
      <c r="E130" s="2" t="s">
        <v>7987</v>
      </c>
      <c r="F130" s="15"/>
      <c r="G130" s="2" t="s">
        <v>7997</v>
      </c>
      <c r="H130" s="2" t="s">
        <v>8008</v>
      </c>
      <c r="I130" s="2"/>
      <c r="J130" s="2">
        <v>1</v>
      </c>
      <c r="K130" s="2"/>
      <c r="L130" s="3">
        <v>23.95</v>
      </c>
      <c r="M130" s="3">
        <v>2.39</v>
      </c>
      <c r="N130" s="3">
        <v>1.35</v>
      </c>
      <c r="O130" s="3">
        <v>0</v>
      </c>
      <c r="P130" s="3">
        <v>0</v>
      </c>
      <c r="Q130" s="6">
        <f t="shared" ref="Q130:Q131" si="283">+L130-M130-N130+P130</f>
        <v>20.209999999999997</v>
      </c>
      <c r="R130" s="3"/>
      <c r="S130" s="3">
        <v>14.14</v>
      </c>
      <c r="T130" s="3">
        <v>1.63</v>
      </c>
      <c r="U130" s="3"/>
      <c r="V130" s="3"/>
      <c r="W130" s="3">
        <v>0.71</v>
      </c>
      <c r="X130" s="2">
        <f t="shared" ref="X130:X131" si="284">+S130+T130++U130+V130-W130</f>
        <v>15.059999999999999</v>
      </c>
      <c r="Y130" s="6">
        <f t="shared" ref="Y130:Y131" si="285">+Q130-X130</f>
        <v>5.1499999999999986</v>
      </c>
      <c r="Z130" s="2"/>
      <c r="AA130" s="2"/>
      <c r="AB130" s="2"/>
      <c r="AC130" s="3"/>
      <c r="AD130" s="2"/>
      <c r="AE130" s="2"/>
      <c r="AF130" s="2"/>
      <c r="AG130" s="2"/>
      <c r="AH130" s="2" t="s">
        <v>7999</v>
      </c>
      <c r="AI130" s="2" t="s">
        <v>7998</v>
      </c>
      <c r="AJ130" s="2"/>
      <c r="AK130" s="2"/>
      <c r="AL130" s="2" t="s">
        <v>7873</v>
      </c>
      <c r="AM130" s="16" t="s">
        <v>8898</v>
      </c>
      <c r="AN130" s="2"/>
      <c r="AO130" s="2" t="s">
        <v>8141</v>
      </c>
      <c r="AP130" s="2" t="s">
        <v>6929</v>
      </c>
      <c r="AQ130" s="2" t="s">
        <v>8000</v>
      </c>
      <c r="AR130" s="2" t="s">
        <v>8142</v>
      </c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ht="17.25" customHeight="1">
      <c r="C131" s="1">
        <v>44036</v>
      </c>
      <c r="E131" s="2" t="s">
        <v>7858</v>
      </c>
      <c r="F131" s="15"/>
      <c r="G131" s="2" t="s">
        <v>6621</v>
      </c>
      <c r="H131" s="2" t="s">
        <v>6620</v>
      </c>
      <c r="I131" s="2"/>
      <c r="J131" s="2">
        <v>1</v>
      </c>
      <c r="K131" s="2"/>
      <c r="L131" s="3">
        <v>27.8</v>
      </c>
      <c r="M131" s="3">
        <v>2.78</v>
      </c>
      <c r="N131" s="3">
        <v>1.6</v>
      </c>
      <c r="O131" s="3">
        <v>1.67</v>
      </c>
      <c r="P131" s="3">
        <f>1.67-1.67</f>
        <v>0</v>
      </c>
      <c r="Q131" s="6">
        <f t="shared" si="283"/>
        <v>23.419999999999998</v>
      </c>
      <c r="R131" s="3"/>
      <c r="S131" s="3">
        <v>19.989999999999998</v>
      </c>
      <c r="T131" s="3">
        <v>2.2999999999999998</v>
      </c>
      <c r="U131" s="3"/>
      <c r="V131" s="3"/>
      <c r="W131" s="3">
        <v>0</v>
      </c>
      <c r="X131" s="2">
        <f t="shared" si="284"/>
        <v>22.29</v>
      </c>
      <c r="Y131" s="6">
        <f t="shared" si="285"/>
        <v>1.129999999999999</v>
      </c>
      <c r="Z131" s="2"/>
      <c r="AA131" s="2"/>
      <c r="AB131" s="2"/>
      <c r="AC131" s="3"/>
      <c r="AD131" s="2"/>
      <c r="AE131" s="2"/>
      <c r="AF131" s="2"/>
      <c r="AG131" s="2"/>
      <c r="AH131" s="2" t="s">
        <v>6623</v>
      </c>
      <c r="AI131" s="2" t="s">
        <v>6622</v>
      </c>
      <c r="AJ131" s="2"/>
      <c r="AK131" s="2"/>
      <c r="AL131" s="2" t="s">
        <v>7876</v>
      </c>
      <c r="AM131" s="16" t="s">
        <v>8383</v>
      </c>
      <c r="AN131" s="2"/>
      <c r="AO131" s="2" t="s">
        <v>8361</v>
      </c>
      <c r="AP131" s="2" t="s">
        <v>5792</v>
      </c>
      <c r="AQ131" s="2" t="s">
        <v>7865</v>
      </c>
      <c r="AR131" s="16" t="s">
        <v>8362</v>
      </c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ht="17.25" customHeight="1">
      <c r="C132" s="1">
        <v>44036</v>
      </c>
      <c r="E132" s="2" t="s">
        <v>7984</v>
      </c>
      <c r="F132" s="15"/>
      <c r="G132" s="2" t="s">
        <v>7980</v>
      </c>
      <c r="H132" s="2" t="s">
        <v>7979</v>
      </c>
      <c r="I132" s="2"/>
      <c r="J132" s="2">
        <v>1</v>
      </c>
      <c r="K132" s="2"/>
      <c r="L132" s="3">
        <v>18.8</v>
      </c>
      <c r="M132" s="3">
        <v>1.88</v>
      </c>
      <c r="N132" s="3">
        <v>1.19</v>
      </c>
      <c r="O132" s="3"/>
      <c r="P132" s="3">
        <v>1.32</v>
      </c>
      <c r="Q132" s="6">
        <f t="shared" ref="Q132:Q133" si="286">+L132-M132-N132+P132</f>
        <v>17.05</v>
      </c>
      <c r="R132" s="3"/>
      <c r="S132" s="3">
        <v>12.49</v>
      </c>
      <c r="T132" s="3">
        <v>0.81</v>
      </c>
      <c r="U132" s="3"/>
      <c r="V132" s="3"/>
      <c r="W132" s="3">
        <v>0.62</v>
      </c>
      <c r="X132" s="2">
        <f t="shared" ref="X132:X133" si="287">+S132+T132++U132+V132-W132</f>
        <v>12.680000000000001</v>
      </c>
      <c r="Y132" s="6">
        <f t="shared" ref="Y132:Y133" si="288">+Q132-X132</f>
        <v>4.3699999999999992</v>
      </c>
      <c r="Z132" s="2"/>
      <c r="AA132" s="2"/>
      <c r="AB132" s="2"/>
      <c r="AC132" s="3"/>
      <c r="AD132" s="2"/>
      <c r="AE132" s="2"/>
      <c r="AF132" s="2"/>
      <c r="AG132" s="2"/>
      <c r="AH132" s="2" t="s">
        <v>7982</v>
      </c>
      <c r="AI132" s="2" t="s">
        <v>7981</v>
      </c>
      <c r="AJ132" s="2"/>
      <c r="AK132" s="2"/>
      <c r="AL132" s="2" t="s">
        <v>7826</v>
      </c>
      <c r="AM132" s="2" t="s">
        <v>8306</v>
      </c>
      <c r="AN132" s="2"/>
      <c r="AO132" s="2" t="s">
        <v>8283</v>
      </c>
      <c r="AP132" s="2" t="s">
        <v>6929</v>
      </c>
      <c r="AQ132" s="2" t="s">
        <v>7983</v>
      </c>
      <c r="AR132" s="16" t="s">
        <v>8307</v>
      </c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ht="17.25" customHeight="1">
      <c r="C133" s="1">
        <v>44036</v>
      </c>
      <c r="E133" s="2" t="s">
        <v>7283</v>
      </c>
      <c r="F133" s="15"/>
      <c r="G133" s="2" t="s">
        <v>7976</v>
      </c>
      <c r="H133" s="2" t="s">
        <v>7975</v>
      </c>
      <c r="I133" s="2"/>
      <c r="J133" s="2">
        <v>1</v>
      </c>
      <c r="K133" s="2"/>
      <c r="L133" s="3">
        <v>22.5</v>
      </c>
      <c r="M133" s="3">
        <v>2.25</v>
      </c>
      <c r="N133" s="3">
        <v>1.38</v>
      </c>
      <c r="O133" s="3"/>
      <c r="P133" s="3">
        <v>2.0299999999999998</v>
      </c>
      <c r="Q133" s="6">
        <f t="shared" si="286"/>
        <v>20.900000000000002</v>
      </c>
      <c r="R133" s="3"/>
      <c r="S133" s="3">
        <v>14.99</v>
      </c>
      <c r="T133" s="3">
        <v>0</v>
      </c>
      <c r="U133" s="3"/>
      <c r="V133" s="3"/>
      <c r="W133" s="3"/>
      <c r="X133" s="2">
        <f t="shared" si="287"/>
        <v>14.99</v>
      </c>
      <c r="Y133" s="6">
        <f t="shared" si="288"/>
        <v>5.9100000000000019</v>
      </c>
      <c r="Z133" s="2"/>
      <c r="AA133" s="2"/>
      <c r="AB133" s="2"/>
      <c r="AC133" s="3"/>
      <c r="AD133" s="2"/>
      <c r="AE133" s="2"/>
      <c r="AF133" s="2"/>
      <c r="AG133" s="2"/>
      <c r="AH133" s="2" t="s">
        <v>7978</v>
      </c>
      <c r="AI133" s="2" t="s">
        <v>7977</v>
      </c>
      <c r="AJ133" s="2"/>
      <c r="AK133" s="2"/>
      <c r="AL133" s="2" t="s">
        <v>7833</v>
      </c>
      <c r="AM133" s="2" t="s">
        <v>8867</v>
      </c>
      <c r="AN133" s="2"/>
      <c r="AO133" s="2" t="s">
        <v>8579</v>
      </c>
      <c r="AP133" s="2" t="s">
        <v>5492</v>
      </c>
      <c r="AQ133" s="2" t="s">
        <v>7283</v>
      </c>
      <c r="AR133" s="16" t="s">
        <v>8580</v>
      </c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ht="17.25" customHeight="1">
      <c r="C134" s="1">
        <v>44036</v>
      </c>
      <c r="E134" s="2" t="s">
        <v>7402</v>
      </c>
      <c r="F134" s="15"/>
      <c r="G134" s="2" t="s">
        <v>7971</v>
      </c>
      <c r="H134" s="2" t="s">
        <v>7970</v>
      </c>
      <c r="I134" s="2"/>
      <c r="J134" s="2">
        <v>1</v>
      </c>
      <c r="K134" s="2"/>
      <c r="L134" s="3">
        <v>58.5</v>
      </c>
      <c r="M134" s="3">
        <v>5.85</v>
      </c>
      <c r="N134" s="3">
        <v>3.04</v>
      </c>
      <c r="O134" s="3">
        <f>3.88-3.88</f>
        <v>0</v>
      </c>
      <c r="P134" s="3">
        <f>5.19-5.19</f>
        <v>0</v>
      </c>
      <c r="Q134" s="6">
        <f t="shared" ref="Q134" si="289">+L134-M134-N134+P134</f>
        <v>49.61</v>
      </c>
      <c r="R134" s="3"/>
      <c r="S134" s="3">
        <v>30.98</v>
      </c>
      <c r="T134" s="3">
        <v>2.0499999999999998</v>
      </c>
      <c r="U134" s="3"/>
      <c r="V134" s="3"/>
      <c r="W134" s="3">
        <v>1.55</v>
      </c>
      <c r="X134" s="2">
        <f t="shared" ref="X134" si="290">+S134+T134++U134+V134-W134</f>
        <v>31.48</v>
      </c>
      <c r="Y134" s="6">
        <f t="shared" ref="Y134" si="291">+Q134-X134</f>
        <v>18.13</v>
      </c>
      <c r="Z134" s="6">
        <f>SUM(Y127:Y134)</f>
        <v>49.58</v>
      </c>
      <c r="AA134" s="34">
        <f>SUM(J127:J134)</f>
        <v>8</v>
      </c>
      <c r="AB134" s="2"/>
      <c r="AC134" s="3"/>
      <c r="AD134" s="2"/>
      <c r="AE134" s="2"/>
      <c r="AF134" s="2"/>
      <c r="AG134" s="2"/>
      <c r="AH134" s="2" t="s">
        <v>7974</v>
      </c>
      <c r="AI134" s="2" t="s">
        <v>7973</v>
      </c>
      <c r="AJ134" s="2"/>
      <c r="AK134" s="2"/>
      <c r="AL134" s="2" t="s">
        <v>7873</v>
      </c>
      <c r="AM134" s="16" t="s">
        <v>8628</v>
      </c>
      <c r="AN134" s="2"/>
      <c r="AO134" s="2" t="s">
        <v>8474</v>
      </c>
      <c r="AP134" s="2" t="s">
        <v>6929</v>
      </c>
      <c r="AQ134" s="2" t="s">
        <v>7402</v>
      </c>
      <c r="AR134" s="16" t="s">
        <v>8287</v>
      </c>
      <c r="AS134" s="2" t="s">
        <v>8597</v>
      </c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ht="17.25" customHeight="1">
      <c r="C135" s="1">
        <v>44035</v>
      </c>
      <c r="E135" s="2" t="s">
        <v>7953</v>
      </c>
      <c r="F135" s="15"/>
      <c r="G135" s="2" t="s">
        <v>7952</v>
      </c>
      <c r="H135" s="2" t="s">
        <v>7951</v>
      </c>
      <c r="I135" s="2"/>
      <c r="J135" s="2">
        <v>1</v>
      </c>
      <c r="K135" s="2"/>
      <c r="L135" s="3">
        <v>72.5</v>
      </c>
      <c r="M135" s="3">
        <v>7.25</v>
      </c>
      <c r="N135" s="3">
        <v>3.49</v>
      </c>
      <c r="O135" s="3">
        <v>0</v>
      </c>
      <c r="P135" s="3">
        <v>0</v>
      </c>
      <c r="Q135" s="6">
        <f t="shared" ref="Q135" si="292">+L135-M135-N135+P135</f>
        <v>61.76</v>
      </c>
      <c r="R135" s="3"/>
      <c r="S135" s="3">
        <v>45.99</v>
      </c>
      <c r="T135" s="3"/>
      <c r="U135" s="3">
        <v>4.99</v>
      </c>
      <c r="V135" s="3"/>
      <c r="W135" s="3">
        <v>4.59</v>
      </c>
      <c r="X135" s="2">
        <f t="shared" ref="X135" si="293">+S135+T135++U135+V135-W135</f>
        <v>46.39</v>
      </c>
      <c r="Y135" s="6">
        <f t="shared" ref="Y135" si="294">+Q135-X135</f>
        <v>15.369999999999997</v>
      </c>
      <c r="Z135" s="2"/>
      <c r="AA135" s="2"/>
      <c r="AB135" s="2"/>
      <c r="AC135" s="3"/>
      <c r="AD135" s="2"/>
      <c r="AE135" s="2"/>
      <c r="AF135" s="2"/>
      <c r="AG135" s="2"/>
      <c r="AH135" s="2" t="s">
        <v>7957</v>
      </c>
      <c r="AI135" s="2" t="s">
        <v>7956</v>
      </c>
      <c r="AJ135" s="2"/>
      <c r="AK135" s="2"/>
      <c r="AL135" s="2"/>
      <c r="AM135" s="2"/>
      <c r="AN135" s="2"/>
      <c r="AO135" s="16" t="s">
        <v>8410</v>
      </c>
      <c r="AP135" s="2" t="s">
        <v>7954</v>
      </c>
      <c r="AQ135" s="2" t="s">
        <v>7955</v>
      </c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ht="17.25" customHeight="1">
      <c r="C136" s="1">
        <v>44035</v>
      </c>
      <c r="E136" s="2" t="s">
        <v>6037</v>
      </c>
      <c r="F136" s="15"/>
      <c r="G136" s="2" t="s">
        <v>7945</v>
      </c>
      <c r="H136" s="2" t="s">
        <v>7944</v>
      </c>
      <c r="I136" s="2"/>
      <c r="J136" s="2">
        <v>1</v>
      </c>
      <c r="K136" s="2"/>
      <c r="L136" s="3">
        <v>59.5</v>
      </c>
      <c r="M136" s="3">
        <v>5.95</v>
      </c>
      <c r="N136" s="3">
        <v>3.15</v>
      </c>
      <c r="O136" s="3">
        <v>5.28</v>
      </c>
      <c r="P136" s="3">
        <f>5.28-5.28</f>
        <v>0</v>
      </c>
      <c r="Q136" s="6">
        <f t="shared" ref="Q136:Q137" si="295">+L136-M136-N136+P136</f>
        <v>50.4</v>
      </c>
      <c r="R136" s="3"/>
      <c r="S136" s="3">
        <v>39.29</v>
      </c>
      <c r="T136" s="3">
        <v>3.48</v>
      </c>
      <c r="U136" s="3">
        <v>0</v>
      </c>
      <c r="V136" s="3"/>
      <c r="W136" s="3">
        <v>0</v>
      </c>
      <c r="X136" s="2">
        <f t="shared" ref="X136:X137" si="296">+S136+T136++U136+V136-W136</f>
        <v>42.769999999999996</v>
      </c>
      <c r="Y136" s="6">
        <f t="shared" ref="Y136:Y137" si="297">+Q136-X136</f>
        <v>7.6300000000000026</v>
      </c>
      <c r="Z136" s="2"/>
      <c r="AA136" s="2"/>
      <c r="AB136" s="2"/>
      <c r="AC136" s="3"/>
      <c r="AD136" s="2"/>
      <c r="AE136" s="2"/>
      <c r="AF136" s="2"/>
      <c r="AG136" s="2"/>
      <c r="AH136" s="2" t="s">
        <v>7947</v>
      </c>
      <c r="AI136" s="2" t="s">
        <v>7946</v>
      </c>
      <c r="AJ136" s="2"/>
      <c r="AK136" s="2"/>
      <c r="AL136" s="2" t="s">
        <v>7833</v>
      </c>
      <c r="AM136" s="2" t="s">
        <v>8745</v>
      </c>
      <c r="AN136" s="2"/>
      <c r="AO136" s="2" t="s">
        <v>8746</v>
      </c>
      <c r="AP136" s="2" t="s">
        <v>7938</v>
      </c>
      <c r="AQ136" s="2" t="s">
        <v>7937</v>
      </c>
      <c r="AR136" s="16" t="s">
        <v>8476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ht="17.25" customHeight="1">
      <c r="C137" s="1">
        <v>44035</v>
      </c>
      <c r="E137" s="2" t="s">
        <v>7943</v>
      </c>
      <c r="F137" s="15"/>
      <c r="G137" s="2" t="s">
        <v>8214</v>
      </c>
      <c r="H137" s="2" t="s">
        <v>8213</v>
      </c>
      <c r="I137" s="2"/>
      <c r="J137" s="2">
        <v>1</v>
      </c>
      <c r="K137" s="2"/>
      <c r="L137" s="3">
        <v>17.5</v>
      </c>
      <c r="M137" s="3">
        <v>1.75</v>
      </c>
      <c r="N137" s="3">
        <v>1.1399999999999999</v>
      </c>
      <c r="O137" s="3">
        <v>1.66</v>
      </c>
      <c r="P137" s="3">
        <f>1.66-1.66</f>
        <v>0</v>
      </c>
      <c r="Q137" s="6">
        <f t="shared" si="295"/>
        <v>14.61</v>
      </c>
      <c r="R137" s="3"/>
      <c r="S137" s="3">
        <v>9.44</v>
      </c>
      <c r="T137" s="3">
        <v>0.89</v>
      </c>
      <c r="U137" s="3"/>
      <c r="V137" s="3"/>
      <c r="W137" s="3">
        <v>0.5</v>
      </c>
      <c r="X137" s="3">
        <f t="shared" si="296"/>
        <v>9.83</v>
      </c>
      <c r="Y137" s="6">
        <f t="shared" si="297"/>
        <v>4.7799999999999994</v>
      </c>
      <c r="Z137" s="2"/>
      <c r="AA137" s="2"/>
      <c r="AB137" s="2"/>
      <c r="AC137" s="3"/>
      <c r="AD137" s="2"/>
      <c r="AE137" s="2"/>
      <c r="AF137" s="2"/>
      <c r="AG137" s="2"/>
      <c r="AH137" s="2" t="s">
        <v>8216</v>
      </c>
      <c r="AI137" s="2" t="s">
        <v>8215</v>
      </c>
      <c r="AJ137" s="2"/>
      <c r="AK137" s="2"/>
      <c r="AL137" s="2"/>
      <c r="AM137" s="2" t="s">
        <v>8274</v>
      </c>
      <c r="AN137" s="2"/>
      <c r="AO137" s="2" t="s">
        <v>8218</v>
      </c>
      <c r="AP137" s="2" t="s">
        <v>6929</v>
      </c>
      <c r="AQ137" s="2" t="s">
        <v>8005</v>
      </c>
      <c r="AR137" s="16" t="s">
        <v>8307</v>
      </c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ht="17.25" customHeight="1">
      <c r="C138" s="1">
        <v>44035</v>
      </c>
      <c r="E138" s="2" t="s">
        <v>7402</v>
      </c>
      <c r="F138" s="15"/>
      <c r="G138" s="2" t="s">
        <v>7940</v>
      </c>
      <c r="H138" s="2" t="s">
        <v>7939</v>
      </c>
      <c r="I138" s="2"/>
      <c r="J138" s="2">
        <v>1</v>
      </c>
      <c r="K138" s="2"/>
      <c r="L138" s="3">
        <v>58.5</v>
      </c>
      <c r="M138" s="3">
        <v>5.85</v>
      </c>
      <c r="N138" s="3">
        <v>3.1</v>
      </c>
      <c r="O138" s="3">
        <v>5.19</v>
      </c>
      <c r="P138" s="3">
        <f>5.19-5.19</f>
        <v>0</v>
      </c>
      <c r="Q138" s="6">
        <f t="shared" ref="Q138" si="298">+L138-M138-N138+P138</f>
        <v>49.55</v>
      </c>
      <c r="R138" s="3"/>
      <c r="S138" s="3">
        <v>30.98</v>
      </c>
      <c r="T138" s="3">
        <v>2.75</v>
      </c>
      <c r="U138" s="3"/>
      <c r="V138" s="3"/>
      <c r="W138" s="3">
        <v>1.55</v>
      </c>
      <c r="X138" s="2">
        <f t="shared" ref="X138" si="299">+S138+T138++U138+V138-W138</f>
        <v>32.180000000000007</v>
      </c>
      <c r="Y138" s="6">
        <f t="shared" ref="Y138" si="300">+Q138-X138</f>
        <v>17.36999999999999</v>
      </c>
      <c r="Z138" s="2"/>
      <c r="AA138" s="2"/>
      <c r="AB138" s="2"/>
      <c r="AC138" s="3"/>
      <c r="AD138" s="2"/>
      <c r="AE138" s="2"/>
      <c r="AF138" s="2"/>
      <c r="AG138" s="2"/>
      <c r="AH138" s="2" t="s">
        <v>7942</v>
      </c>
      <c r="AI138" s="2" t="s">
        <v>7941</v>
      </c>
      <c r="AJ138" s="2"/>
      <c r="AK138" s="2"/>
      <c r="AL138" s="2" t="s">
        <v>7873</v>
      </c>
      <c r="AM138" s="16" t="s">
        <v>8629</v>
      </c>
      <c r="AN138" s="2"/>
      <c r="AO138" s="2" t="s">
        <v>8473</v>
      </c>
      <c r="AP138" s="2" t="s">
        <v>6929</v>
      </c>
      <c r="AQ138" s="2" t="s">
        <v>7402</v>
      </c>
      <c r="AR138" s="16" t="s">
        <v>8287</v>
      </c>
      <c r="AS138" s="2" t="s">
        <v>8597</v>
      </c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ht="17.25" customHeight="1">
      <c r="C139" s="1">
        <v>44035</v>
      </c>
      <c r="E139" s="2" t="s">
        <v>7894</v>
      </c>
      <c r="F139" s="15"/>
      <c r="G139" s="2" t="s">
        <v>7936</v>
      </c>
      <c r="H139" s="2" t="s">
        <v>7935</v>
      </c>
      <c r="I139" s="2"/>
      <c r="J139" s="2">
        <v>1</v>
      </c>
      <c r="K139" s="2"/>
      <c r="L139" s="3">
        <v>35.700000000000003</v>
      </c>
      <c r="M139" s="3">
        <v>3.57</v>
      </c>
      <c r="N139" s="3">
        <v>1.99</v>
      </c>
      <c r="O139" s="3">
        <v>2.27</v>
      </c>
      <c r="P139" s="3">
        <f>2.27-2.27</f>
        <v>0</v>
      </c>
      <c r="Q139" s="6">
        <f t="shared" ref="Q139" si="301">+L139-M139-N139+P139</f>
        <v>30.140000000000004</v>
      </c>
      <c r="R139" s="3"/>
      <c r="S139" s="3">
        <v>16.989999999999998</v>
      </c>
      <c r="T139" s="3">
        <v>1.31</v>
      </c>
      <c r="U139" s="3">
        <v>5</v>
      </c>
      <c r="V139" s="3"/>
      <c r="W139" s="3">
        <v>0</v>
      </c>
      <c r="X139" s="2">
        <f t="shared" ref="X139" si="302">+S139+T139++U139+V139-W139</f>
        <v>23.299999999999997</v>
      </c>
      <c r="Y139" s="6">
        <f t="shared" ref="Y139" si="303">+Q139-X139</f>
        <v>6.840000000000007</v>
      </c>
      <c r="Z139" s="2"/>
      <c r="AA139" s="2"/>
      <c r="AB139" s="2"/>
      <c r="AC139" s="3"/>
      <c r="AD139" s="2"/>
      <c r="AE139" s="2"/>
      <c r="AF139" s="2"/>
      <c r="AG139" s="2"/>
      <c r="AH139" s="2" t="s">
        <v>7930</v>
      </c>
      <c r="AI139" s="2" t="s">
        <v>7929</v>
      </c>
      <c r="AJ139" s="2"/>
      <c r="AK139" s="2"/>
      <c r="AL139" s="2" t="s">
        <v>7833</v>
      </c>
      <c r="AM139" s="2" t="s">
        <v>8138</v>
      </c>
      <c r="AN139" s="2"/>
      <c r="AO139" s="2" t="s">
        <v>8080</v>
      </c>
      <c r="AP139" s="2" t="s">
        <v>8081</v>
      </c>
      <c r="AQ139" s="2" t="s">
        <v>7903</v>
      </c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ht="17.25" customHeight="1">
      <c r="C140" s="1">
        <v>44035</v>
      </c>
      <c r="E140" s="2" t="s">
        <v>7672</v>
      </c>
      <c r="F140" s="15"/>
      <c r="G140" s="2" t="s">
        <v>7928</v>
      </c>
      <c r="H140" s="2" t="s">
        <v>7927</v>
      </c>
      <c r="I140" s="2"/>
      <c r="J140" s="2">
        <v>1</v>
      </c>
      <c r="K140" s="2"/>
      <c r="L140" s="3">
        <v>35.5</v>
      </c>
      <c r="M140" s="3">
        <v>3.55</v>
      </c>
      <c r="N140" s="3">
        <v>2</v>
      </c>
      <c r="O140" s="3">
        <v>3.06</v>
      </c>
      <c r="P140" s="3">
        <f>3.06-3.06</f>
        <v>0</v>
      </c>
      <c r="Q140" s="6">
        <f t="shared" ref="Q140" si="304">+L140-M140-N140+P140</f>
        <v>29.95</v>
      </c>
      <c r="R140" s="3"/>
      <c r="S140" s="3">
        <v>17.989999999999998</v>
      </c>
      <c r="T140" s="3">
        <v>1.55</v>
      </c>
      <c r="U140" s="3">
        <v>0</v>
      </c>
      <c r="V140" s="3"/>
      <c r="W140" s="3">
        <v>0.9</v>
      </c>
      <c r="X140" s="2">
        <f t="shared" ref="X140" si="305">+S140+T140++U140+V140-W140</f>
        <v>18.64</v>
      </c>
      <c r="Y140" s="6">
        <f t="shared" ref="Y140" si="306">+Q140-X140</f>
        <v>11.309999999999999</v>
      </c>
      <c r="Z140" s="2"/>
      <c r="AA140" s="2"/>
      <c r="AB140" s="2"/>
      <c r="AC140" s="3"/>
      <c r="AD140" s="2"/>
      <c r="AE140" s="2"/>
      <c r="AF140" s="2"/>
      <c r="AG140" s="2"/>
      <c r="AH140" s="2" t="s">
        <v>7933</v>
      </c>
      <c r="AI140" s="2" t="s">
        <v>7931</v>
      </c>
      <c r="AJ140" s="2"/>
      <c r="AK140" s="2"/>
      <c r="AL140" s="2" t="s">
        <v>7826</v>
      </c>
      <c r="AM140" s="2" t="s">
        <v>8131</v>
      </c>
      <c r="AN140" s="2"/>
      <c r="AO140" s="2" t="s">
        <v>8032</v>
      </c>
      <c r="AP140" s="2" t="s">
        <v>6929</v>
      </c>
      <c r="AQ140" s="16" t="s">
        <v>7934</v>
      </c>
      <c r="AR140" s="16" t="s">
        <v>8262</v>
      </c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ht="17.25" customHeight="1">
      <c r="C141" s="1">
        <v>44035</v>
      </c>
      <c r="E141" s="2" t="s">
        <v>7161</v>
      </c>
      <c r="F141" s="15"/>
      <c r="G141" s="2" t="s">
        <v>7923</v>
      </c>
      <c r="H141" s="2" t="s">
        <v>7922</v>
      </c>
      <c r="I141" s="2"/>
      <c r="J141" s="2">
        <v>1</v>
      </c>
      <c r="K141" s="2"/>
      <c r="L141" s="3">
        <v>42.15</v>
      </c>
      <c r="M141" s="3">
        <v>4.21</v>
      </c>
      <c r="N141" s="3">
        <v>2.3199999999999998</v>
      </c>
      <c r="O141" s="3">
        <v>3.74</v>
      </c>
      <c r="P141" s="3">
        <f>3.74-3.74</f>
        <v>0</v>
      </c>
      <c r="Q141" s="6">
        <f t="shared" ref="Q141" si="307">+L141-M141-N141+P141</f>
        <v>35.619999999999997</v>
      </c>
      <c r="R141" s="3"/>
      <c r="S141" s="3">
        <v>28.79</v>
      </c>
      <c r="T141" s="3">
        <v>1.8</v>
      </c>
      <c r="U141" s="3"/>
      <c r="V141" s="3"/>
      <c r="W141" s="3"/>
      <c r="X141" s="2">
        <f t="shared" ref="X141" si="308">+S141+T141++U141+V141-W141</f>
        <v>30.59</v>
      </c>
      <c r="Y141" s="6">
        <f t="shared" ref="Y141" si="309">+Q141-X141</f>
        <v>5.0299999999999976</v>
      </c>
      <c r="Z141" s="2"/>
      <c r="AA141" s="2"/>
      <c r="AB141" s="2"/>
      <c r="AC141" s="3"/>
      <c r="AD141" s="2"/>
      <c r="AE141" s="2"/>
      <c r="AF141" s="2"/>
      <c r="AG141" s="2"/>
      <c r="AH141" s="2" t="s">
        <v>7925</v>
      </c>
      <c r="AI141" s="2" t="s">
        <v>7924</v>
      </c>
      <c r="AJ141" s="2"/>
      <c r="AK141" s="2"/>
      <c r="AL141" s="2" t="s">
        <v>7826</v>
      </c>
      <c r="AM141" s="2" t="s">
        <v>8508</v>
      </c>
      <c r="AN141" s="2"/>
      <c r="AO141" s="2" t="s">
        <v>8365</v>
      </c>
      <c r="AP141" s="2" t="s">
        <v>6929</v>
      </c>
      <c r="AQ141" s="2" t="s">
        <v>7926</v>
      </c>
      <c r="AR141" s="16" t="s">
        <v>8522</v>
      </c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ht="17.25" customHeight="1">
      <c r="C142" s="1">
        <v>44035</v>
      </c>
      <c r="E142" s="2" t="s">
        <v>5707</v>
      </c>
      <c r="F142" s="15"/>
      <c r="G142" s="2" t="s">
        <v>7912</v>
      </c>
      <c r="H142" s="2" t="s">
        <v>7911</v>
      </c>
      <c r="I142" s="2"/>
      <c r="J142" s="2">
        <v>2</v>
      </c>
      <c r="K142" s="2"/>
      <c r="L142" s="3">
        <v>105.5</v>
      </c>
      <c r="M142" s="3">
        <v>10.55</v>
      </c>
      <c r="N142" s="3">
        <v>5.25</v>
      </c>
      <c r="O142" s="3">
        <v>6.99</v>
      </c>
      <c r="P142" s="3">
        <f>6.99-6.99</f>
        <v>0</v>
      </c>
      <c r="Q142" s="6">
        <f t="shared" ref="Q142:Q146" si="310">+L142-M142-N142+P142</f>
        <v>89.7</v>
      </c>
      <c r="R142" s="3"/>
      <c r="S142" s="3">
        <v>59.98</v>
      </c>
      <c r="T142" s="3">
        <v>3.97</v>
      </c>
      <c r="U142" s="3"/>
      <c r="V142" s="3"/>
      <c r="W142" s="3"/>
      <c r="X142" s="2">
        <f t="shared" ref="X142:X145" si="311">+S142+T142++U142+V142-W142</f>
        <v>63.949999999999996</v>
      </c>
      <c r="Y142" s="6">
        <f t="shared" ref="Y142:Y145" si="312">+Q142-X142</f>
        <v>25.750000000000007</v>
      </c>
      <c r="Z142" s="2"/>
      <c r="AA142" s="2"/>
      <c r="AB142" s="2"/>
      <c r="AC142" s="3"/>
      <c r="AD142" s="2"/>
      <c r="AE142" s="2"/>
      <c r="AF142" s="2"/>
      <c r="AG142" s="2"/>
      <c r="AH142" s="2" t="s">
        <v>7914</v>
      </c>
      <c r="AI142" s="2" t="s">
        <v>7913</v>
      </c>
      <c r="AJ142" s="2"/>
      <c r="AK142" s="2"/>
      <c r="AL142" s="2" t="s">
        <v>7833</v>
      </c>
      <c r="AM142" s="16" t="s">
        <v>8272</v>
      </c>
      <c r="AN142" s="2"/>
      <c r="AO142" s="2" t="s">
        <v>8082</v>
      </c>
      <c r="AP142" s="2" t="s">
        <v>8081</v>
      </c>
      <c r="AQ142" s="16" t="s">
        <v>7916</v>
      </c>
      <c r="AR142" s="16" t="s">
        <v>8051</v>
      </c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ht="17.25" customHeight="1">
      <c r="C143" s="1">
        <v>44035</v>
      </c>
      <c r="E143" s="2" t="s">
        <v>7894</v>
      </c>
      <c r="F143" s="15"/>
      <c r="G143" s="2" t="s">
        <v>7919</v>
      </c>
      <c r="H143" s="2" t="s">
        <v>7918</v>
      </c>
      <c r="I143" s="2"/>
      <c r="J143" s="2">
        <v>1</v>
      </c>
      <c r="K143" s="2"/>
      <c r="L143" s="3">
        <v>35.700000000000003</v>
      </c>
      <c r="M143" s="3">
        <v>3.57</v>
      </c>
      <c r="N143" s="3">
        <v>2.0099999999999998</v>
      </c>
      <c r="O143" s="3">
        <v>3.08</v>
      </c>
      <c r="P143" s="3">
        <f>3.08-3.08</f>
        <v>0</v>
      </c>
      <c r="Q143" s="6">
        <f t="shared" si="310"/>
        <v>30.120000000000005</v>
      </c>
      <c r="R143" s="3"/>
      <c r="S143" s="3">
        <v>16.989999999999998</v>
      </c>
      <c r="T143" s="3">
        <v>1.89</v>
      </c>
      <c r="U143" s="3">
        <v>5</v>
      </c>
      <c r="V143" s="3"/>
      <c r="W143" s="3">
        <v>0</v>
      </c>
      <c r="X143" s="2">
        <f t="shared" si="311"/>
        <v>23.88</v>
      </c>
      <c r="Y143" s="6">
        <f t="shared" si="312"/>
        <v>6.2400000000000055</v>
      </c>
      <c r="Z143" s="6">
        <f>SUM(Y135:Y143)</f>
        <v>100.32000000000002</v>
      </c>
      <c r="AA143" s="34">
        <f>SUM(J135:J143)</f>
        <v>10</v>
      </c>
      <c r="AB143" s="2"/>
      <c r="AC143" s="3"/>
      <c r="AD143" s="2"/>
      <c r="AE143" s="2"/>
      <c r="AF143" s="2"/>
      <c r="AG143" s="2"/>
      <c r="AH143" s="2" t="s">
        <v>7921</v>
      </c>
      <c r="AI143" s="2" t="s">
        <v>7920</v>
      </c>
      <c r="AJ143" s="2"/>
      <c r="AK143" s="2"/>
      <c r="AL143" s="2" t="s">
        <v>7833</v>
      </c>
      <c r="AM143" s="2" t="s">
        <v>8137</v>
      </c>
      <c r="AN143" s="2"/>
      <c r="AO143" s="2" t="s">
        <v>8079</v>
      </c>
      <c r="AP143" s="2" t="s">
        <v>8081</v>
      </c>
      <c r="AQ143" s="2" t="s">
        <v>7903</v>
      </c>
      <c r="AR143" s="16" t="s">
        <v>8051</v>
      </c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ht="17.25" customHeight="1">
      <c r="C144" s="1">
        <v>44034</v>
      </c>
      <c r="E144" s="2" t="s">
        <v>7889</v>
      </c>
      <c r="F144" s="15"/>
      <c r="G144" s="2" t="s">
        <v>7891</v>
      </c>
      <c r="H144" s="2" t="s">
        <v>7890</v>
      </c>
      <c r="I144" s="2"/>
      <c r="J144" s="2">
        <v>1</v>
      </c>
      <c r="K144" s="2"/>
      <c r="L144" s="3">
        <v>35.5</v>
      </c>
      <c r="M144" s="3">
        <v>3.55</v>
      </c>
      <c r="N144" s="3">
        <v>1.97</v>
      </c>
      <c r="O144" s="3">
        <v>2.35</v>
      </c>
      <c r="P144" s="3">
        <f>2.35-2.35</f>
        <v>0</v>
      </c>
      <c r="Q144" s="6">
        <f t="shared" si="310"/>
        <v>29.98</v>
      </c>
      <c r="R144" s="3"/>
      <c r="S144" s="3">
        <v>23.95</v>
      </c>
      <c r="T144" s="3">
        <v>1.58</v>
      </c>
      <c r="U144" s="3"/>
      <c r="V144" s="3"/>
      <c r="W144" s="3"/>
      <c r="X144" s="2">
        <f t="shared" si="311"/>
        <v>25.53</v>
      </c>
      <c r="Y144" s="6">
        <f t="shared" si="312"/>
        <v>4.4499999999999993</v>
      </c>
      <c r="Z144" s="2"/>
      <c r="AA144" s="2"/>
      <c r="AB144" s="2"/>
      <c r="AC144" s="3"/>
      <c r="AD144" s="2"/>
      <c r="AE144" s="2"/>
      <c r="AF144" s="2"/>
      <c r="AG144" s="2"/>
      <c r="AH144" s="2" t="s">
        <v>7893</v>
      </c>
      <c r="AI144" s="2" t="s">
        <v>7892</v>
      </c>
      <c r="AJ144" s="2"/>
      <c r="AK144" s="2"/>
      <c r="AL144" s="2" t="s">
        <v>7873</v>
      </c>
      <c r="AM144" s="16" t="s">
        <v>8223</v>
      </c>
      <c r="AN144" s="2"/>
      <c r="AO144" s="16" t="s">
        <v>8212</v>
      </c>
      <c r="AP144" s="5" t="s">
        <v>8211</v>
      </c>
      <c r="AQ144" s="2" t="s">
        <v>7889</v>
      </c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ht="17.25" customHeight="1">
      <c r="C145" s="1">
        <v>44034</v>
      </c>
      <c r="E145" s="2" t="s">
        <v>6722</v>
      </c>
      <c r="F145" s="15"/>
      <c r="G145" s="2" t="s">
        <v>8779</v>
      </c>
      <c r="H145" s="2" t="s">
        <v>8778</v>
      </c>
      <c r="I145" s="2"/>
      <c r="J145" s="2">
        <v>1</v>
      </c>
      <c r="K145" s="2"/>
      <c r="L145" s="3">
        <v>23.95</v>
      </c>
      <c r="M145" s="3">
        <v>2.39</v>
      </c>
      <c r="N145" s="3">
        <v>1.43</v>
      </c>
      <c r="O145" s="3">
        <v>1.68</v>
      </c>
      <c r="P145" s="3">
        <f>1.68-1.68</f>
        <v>0</v>
      </c>
      <c r="Q145" s="6">
        <f t="shared" si="310"/>
        <v>20.13</v>
      </c>
      <c r="R145" s="3"/>
      <c r="S145" s="3">
        <v>14.14</v>
      </c>
      <c r="T145" s="3">
        <v>0.85</v>
      </c>
      <c r="U145" s="3"/>
      <c r="V145" s="3"/>
      <c r="W145" s="3">
        <v>0.71</v>
      </c>
      <c r="X145" s="2">
        <f t="shared" si="311"/>
        <v>14.280000000000001</v>
      </c>
      <c r="Y145" s="6">
        <f t="shared" si="312"/>
        <v>5.8499999999999979</v>
      </c>
      <c r="Z145" s="2"/>
      <c r="AA145" s="2"/>
      <c r="AB145" s="2"/>
      <c r="AC145" s="3"/>
      <c r="AD145" s="2"/>
      <c r="AE145" s="2"/>
      <c r="AF145" s="2"/>
      <c r="AG145" s="2"/>
      <c r="AH145" s="2" t="s">
        <v>8780</v>
      </c>
      <c r="AI145" s="2"/>
      <c r="AJ145" s="2"/>
      <c r="AK145" s="2"/>
      <c r="AL145" s="2" t="s">
        <v>7826</v>
      </c>
      <c r="AM145" s="16" t="s">
        <v>8883</v>
      </c>
      <c r="AN145" s="2"/>
      <c r="AO145" s="9" t="s">
        <v>8781</v>
      </c>
      <c r="AP145" s="2" t="s">
        <v>6929</v>
      </c>
      <c r="AQ145" s="2" t="s">
        <v>7864</v>
      </c>
      <c r="AR145" s="16" t="s">
        <v>8476</v>
      </c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ht="17.25" customHeight="1">
      <c r="C146" s="1">
        <v>44034</v>
      </c>
      <c r="E146" s="2" t="s">
        <v>7859</v>
      </c>
      <c r="F146" s="15"/>
      <c r="G146" s="2" t="s">
        <v>7868</v>
      </c>
      <c r="H146" s="2" t="s">
        <v>7867</v>
      </c>
      <c r="I146" s="2"/>
      <c r="J146" s="2">
        <v>1</v>
      </c>
      <c r="K146" s="2"/>
      <c r="L146" s="3">
        <v>39</v>
      </c>
      <c r="M146" s="3">
        <v>3.9</v>
      </c>
      <c r="N146" s="3">
        <v>2.13</v>
      </c>
      <c r="O146" s="3">
        <v>2.58</v>
      </c>
      <c r="P146" s="3">
        <f>2.58-2.58</f>
        <v>0</v>
      </c>
      <c r="Q146" s="6">
        <f t="shared" si="310"/>
        <v>32.97</v>
      </c>
      <c r="R146" s="3"/>
      <c r="S146" s="3">
        <v>17.98</v>
      </c>
      <c r="T146" s="3">
        <v>1.2</v>
      </c>
      <c r="U146" s="3"/>
      <c r="V146" s="3"/>
      <c r="W146" s="3">
        <v>0.9</v>
      </c>
      <c r="X146" s="2">
        <f t="shared" ref="X146" si="313">+S146+T146++U146+V146-W146</f>
        <v>18.28</v>
      </c>
      <c r="Y146" s="6">
        <f t="shared" ref="Y146" si="314">+Q146-X146</f>
        <v>14.689999999999998</v>
      </c>
      <c r="Z146" s="2"/>
      <c r="AA146" s="2"/>
      <c r="AB146" s="2"/>
      <c r="AC146" s="3"/>
      <c r="AD146" s="2"/>
      <c r="AE146" s="2"/>
      <c r="AF146" s="2"/>
      <c r="AG146" s="2"/>
      <c r="AH146" s="2" t="s">
        <v>7870</v>
      </c>
      <c r="AI146" s="2" t="s">
        <v>7869</v>
      </c>
      <c r="AJ146" s="2"/>
      <c r="AK146" s="2"/>
      <c r="AL146" s="16" t="s">
        <v>8540</v>
      </c>
      <c r="AM146" s="2" t="s">
        <v>8539</v>
      </c>
      <c r="AN146" s="2"/>
      <c r="AO146" s="2" t="s">
        <v>8286</v>
      </c>
      <c r="AP146" s="2" t="s">
        <v>6929</v>
      </c>
      <c r="AQ146" s="2" t="s">
        <v>7866</v>
      </c>
      <c r="AR146" s="16" t="s">
        <v>8287</v>
      </c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ht="17.25" customHeight="1">
      <c r="C147" s="1">
        <v>44034</v>
      </c>
      <c r="E147" s="2" t="s">
        <v>7858</v>
      </c>
      <c r="F147" s="15"/>
      <c r="G147" s="2" t="s">
        <v>6700</v>
      </c>
      <c r="H147" s="2" t="s">
        <v>8646</v>
      </c>
      <c r="I147" s="2"/>
      <c r="J147" s="2">
        <v>1</v>
      </c>
      <c r="K147" s="2"/>
      <c r="L147" s="3">
        <v>27.8</v>
      </c>
      <c r="M147" s="3">
        <v>2.78</v>
      </c>
      <c r="N147" s="3">
        <v>1.52</v>
      </c>
      <c r="O147" s="3"/>
      <c r="P147" s="3"/>
      <c r="Q147" s="6">
        <f t="shared" ref="Q147:Q148" si="315">+L147-M147-N147+P147</f>
        <v>23.5</v>
      </c>
      <c r="R147" s="3"/>
      <c r="S147" s="3">
        <v>19.989999999999998</v>
      </c>
      <c r="T147" s="3">
        <v>2.2999999999999998</v>
      </c>
      <c r="U147" s="3"/>
      <c r="V147" s="3"/>
      <c r="W147" s="3">
        <v>0</v>
      </c>
      <c r="X147" s="2">
        <f t="shared" ref="X147:X148" si="316">+S147+T147++U147+V147-W147</f>
        <v>22.29</v>
      </c>
      <c r="Y147" s="6">
        <f t="shared" ref="Y147:Y148" si="317">+Q147-X147</f>
        <v>1.2100000000000009</v>
      </c>
      <c r="Z147" s="2"/>
      <c r="AA147" s="2"/>
      <c r="AB147" s="2"/>
      <c r="AC147" s="3"/>
      <c r="AD147" s="2"/>
      <c r="AE147" s="2"/>
      <c r="AF147" s="2"/>
      <c r="AG147" s="2"/>
      <c r="AH147" s="2" t="s">
        <v>6702</v>
      </c>
      <c r="AI147" s="2" t="s">
        <v>6701</v>
      </c>
      <c r="AJ147" s="2"/>
      <c r="AK147" s="2"/>
      <c r="AL147" s="2"/>
      <c r="AM147" s="2"/>
      <c r="AN147" s="2"/>
      <c r="AO147" s="2" t="s">
        <v>8363</v>
      </c>
      <c r="AP147" s="2" t="s">
        <v>3685</v>
      </c>
      <c r="AQ147" s="2" t="s">
        <v>7865</v>
      </c>
      <c r="AR147" s="16" t="s">
        <v>8364</v>
      </c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ht="17.25" customHeight="1">
      <c r="C148" s="1">
        <v>44034</v>
      </c>
      <c r="E148" s="2" t="s">
        <v>6722</v>
      </c>
      <c r="F148" s="15"/>
      <c r="G148" s="2" t="s">
        <v>7861</v>
      </c>
      <c r="H148" s="2" t="s">
        <v>7860</v>
      </c>
      <c r="I148" s="2"/>
      <c r="J148" s="2">
        <v>1</v>
      </c>
      <c r="K148" s="2"/>
      <c r="L148" s="3">
        <v>23.95</v>
      </c>
      <c r="M148" s="3">
        <v>2.39</v>
      </c>
      <c r="N148" s="3">
        <v>1.42</v>
      </c>
      <c r="O148" s="3">
        <v>1.76</v>
      </c>
      <c r="P148" s="3">
        <f>1.44-1.44</f>
        <v>0</v>
      </c>
      <c r="Q148" s="6">
        <f t="shared" si="315"/>
        <v>20.14</v>
      </c>
      <c r="R148" s="3"/>
      <c r="S148" s="3">
        <v>14.14</v>
      </c>
      <c r="T148" s="3">
        <v>0.85</v>
      </c>
      <c r="U148" s="3"/>
      <c r="V148" s="3"/>
      <c r="W148" s="3">
        <v>0.71</v>
      </c>
      <c r="X148" s="2">
        <f t="shared" si="316"/>
        <v>14.280000000000001</v>
      </c>
      <c r="Y148" s="6">
        <f t="shared" si="317"/>
        <v>5.8599999999999994</v>
      </c>
      <c r="Z148" s="2"/>
      <c r="AA148" s="2"/>
      <c r="AB148" s="2"/>
      <c r="AC148" s="3"/>
      <c r="AD148" s="2"/>
      <c r="AE148" s="2"/>
      <c r="AF148" s="2"/>
      <c r="AG148" s="2"/>
      <c r="AH148" s="2" t="s">
        <v>7863</v>
      </c>
      <c r="AI148" s="2" t="s">
        <v>7862</v>
      </c>
      <c r="AJ148" s="2"/>
      <c r="AK148" s="2"/>
      <c r="AL148" s="2" t="s">
        <v>7826</v>
      </c>
      <c r="AM148" s="2" t="s">
        <v>8263</v>
      </c>
      <c r="AN148" s="2"/>
      <c r="AO148" s="2" t="s">
        <v>8140</v>
      </c>
      <c r="AP148" s="2" t="s">
        <v>6929</v>
      </c>
      <c r="AQ148" s="2" t="s">
        <v>7864</v>
      </c>
      <c r="AR148" s="16" t="s">
        <v>8259</v>
      </c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ht="17.25" customHeight="1">
      <c r="C149" s="1">
        <v>44034</v>
      </c>
      <c r="E149" s="2" t="s">
        <v>6044</v>
      </c>
      <c r="F149" s="15"/>
      <c r="G149" s="2" t="s">
        <v>8472</v>
      </c>
      <c r="H149" s="2" t="s">
        <v>7854</v>
      </c>
      <c r="I149" s="2"/>
      <c r="J149" s="2">
        <v>1</v>
      </c>
      <c r="K149" s="2"/>
      <c r="L149" s="3">
        <v>84.5</v>
      </c>
      <c r="M149" s="3">
        <v>8.4499999999999993</v>
      </c>
      <c r="N149" s="3">
        <v>4.28</v>
      </c>
      <c r="O149" s="3">
        <v>5.92</v>
      </c>
      <c r="P149" s="3">
        <f>5.92-5.92</f>
        <v>0</v>
      </c>
      <c r="Q149" s="6">
        <f t="shared" ref="Q149" si="318">+L149-M149-N149+P149</f>
        <v>71.77</v>
      </c>
      <c r="R149" s="3"/>
      <c r="S149" s="3">
        <v>65.19</v>
      </c>
      <c r="T149" s="3">
        <v>4.57</v>
      </c>
      <c r="U149" s="3"/>
      <c r="V149" s="3"/>
      <c r="W149" s="3">
        <f>6.51+0.45</f>
        <v>6.96</v>
      </c>
      <c r="X149" s="2">
        <f t="shared" ref="X149" si="319">+S149+T149++U149+V149-W149</f>
        <v>62.79999999999999</v>
      </c>
      <c r="Y149" s="6">
        <f t="shared" ref="Y149" si="320">+Q149-X149</f>
        <v>8.970000000000006</v>
      </c>
      <c r="Z149" s="2"/>
      <c r="AA149" s="2"/>
      <c r="AB149" s="2"/>
      <c r="AC149" s="3"/>
      <c r="AD149" s="2"/>
      <c r="AE149" s="2"/>
      <c r="AF149" s="2"/>
      <c r="AG149" s="2"/>
      <c r="AH149" s="2" t="s">
        <v>7856</v>
      </c>
      <c r="AI149" s="2" t="s">
        <v>7855</v>
      </c>
      <c r="AJ149" s="2"/>
      <c r="AK149" s="2"/>
      <c r="AL149" s="2" t="s">
        <v>7833</v>
      </c>
      <c r="AM149" s="16" t="s">
        <v>8471</v>
      </c>
      <c r="AN149" s="2"/>
      <c r="AO149" s="2" t="s">
        <v>8313</v>
      </c>
      <c r="AP149" s="2" t="s">
        <v>7754</v>
      </c>
      <c r="AQ149" s="2" t="s">
        <v>7857</v>
      </c>
      <c r="AR149" s="16" t="s">
        <v>8355</v>
      </c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ht="17.25" customHeight="1">
      <c r="C150" s="1">
        <v>44034</v>
      </c>
      <c r="E150" s="2" t="s">
        <v>7847</v>
      </c>
      <c r="F150" s="15"/>
      <c r="G150" s="2" t="s">
        <v>7846</v>
      </c>
      <c r="H150" s="2" t="s">
        <v>7845</v>
      </c>
      <c r="I150" s="2"/>
      <c r="J150" s="2">
        <v>1</v>
      </c>
      <c r="K150" s="2"/>
      <c r="L150" s="3">
        <v>17.5</v>
      </c>
      <c r="M150" s="3">
        <v>1.75</v>
      </c>
      <c r="N150" s="3">
        <v>1.1200000000000001</v>
      </c>
      <c r="O150" s="3">
        <v>1.1100000000000001</v>
      </c>
      <c r="P150" s="3">
        <f>1.11-1.11</f>
        <v>0</v>
      </c>
      <c r="Q150" s="6">
        <f t="shared" ref="Q150:Q151" si="321">+L150-M150-N150+P150</f>
        <v>14.629999999999999</v>
      </c>
      <c r="R150" s="3"/>
      <c r="S150" s="3"/>
      <c r="T150" s="3"/>
      <c r="U150" s="3"/>
      <c r="V150" s="3"/>
      <c r="W150" s="3"/>
      <c r="X150" s="3"/>
      <c r="Y150" s="3"/>
      <c r="Z150" s="2"/>
      <c r="AA150" s="2"/>
      <c r="AB150" s="2"/>
      <c r="AC150" s="3"/>
      <c r="AD150" s="2"/>
      <c r="AE150" s="2"/>
      <c r="AF150" s="2"/>
      <c r="AG150" s="2"/>
      <c r="AH150" s="2" t="s">
        <v>7849</v>
      </c>
      <c r="AI150" s="2" t="s">
        <v>7848</v>
      </c>
      <c r="AJ150" s="2"/>
      <c r="AK150" s="2"/>
      <c r="AL150" s="2" t="s">
        <v>7873</v>
      </c>
      <c r="AM150" s="16" t="s">
        <v>8795</v>
      </c>
      <c r="AN150" s="2"/>
      <c r="AO150" s="16" t="s">
        <v>8310</v>
      </c>
      <c r="AP150" s="2" t="s">
        <v>8312</v>
      </c>
      <c r="AQ150" s="2" t="s">
        <v>8311</v>
      </c>
      <c r="AR150" s="16" t="s">
        <v>8796</v>
      </c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ht="17.25" customHeight="1">
      <c r="C151" s="1">
        <v>44034</v>
      </c>
      <c r="E151" s="2" t="s">
        <v>7596</v>
      </c>
      <c r="F151" s="15"/>
      <c r="G151" s="2" t="s">
        <v>7841</v>
      </c>
      <c r="H151" s="2" t="s">
        <v>7840</v>
      </c>
      <c r="I151" s="2"/>
      <c r="J151" s="2">
        <v>1</v>
      </c>
      <c r="K151" s="2"/>
      <c r="L151" s="3">
        <v>17.5</v>
      </c>
      <c r="M151" s="3">
        <v>1.75</v>
      </c>
      <c r="N151" s="3">
        <v>1.1399999999999999</v>
      </c>
      <c r="O151" s="3">
        <v>1.66</v>
      </c>
      <c r="P151" s="3">
        <f>1.66-1.66</f>
        <v>0</v>
      </c>
      <c r="Q151" s="6">
        <f t="shared" si="321"/>
        <v>14.61</v>
      </c>
      <c r="R151" s="3"/>
      <c r="S151" s="3">
        <v>6.99</v>
      </c>
      <c r="T151" s="3">
        <v>0.66</v>
      </c>
      <c r="U151" s="3"/>
      <c r="V151" s="3"/>
      <c r="W151" s="3">
        <v>0.35</v>
      </c>
      <c r="X151" s="3">
        <f t="shared" ref="X151" si="322">+S151+T151++U151+V151-W151</f>
        <v>7.3000000000000007</v>
      </c>
      <c r="Y151" s="6">
        <f t="shared" ref="Y151" si="323">+Q151-X151</f>
        <v>7.3099999999999987</v>
      </c>
      <c r="Z151" s="2"/>
      <c r="AA151" s="2"/>
      <c r="AB151" s="2"/>
      <c r="AC151" s="3"/>
      <c r="AD151" s="2"/>
      <c r="AE151" s="2"/>
      <c r="AF151" s="2"/>
      <c r="AG151" s="2"/>
      <c r="AH151" s="2" t="s">
        <v>7843</v>
      </c>
      <c r="AI151" s="2" t="s">
        <v>7842</v>
      </c>
      <c r="AJ151" s="2"/>
      <c r="AK151" s="2"/>
      <c r="AL151" s="2" t="s">
        <v>7826</v>
      </c>
      <c r="AM151" s="2" t="s">
        <v>8356</v>
      </c>
      <c r="AN151" s="2"/>
      <c r="AO151" s="2" t="s">
        <v>8196</v>
      </c>
      <c r="AP151" s="2" t="s">
        <v>6929</v>
      </c>
      <c r="AQ151" s="48" t="s">
        <v>7622</v>
      </c>
      <c r="AR151" s="49" t="s">
        <v>8386</v>
      </c>
      <c r="AS151" s="5" t="s">
        <v>7535</v>
      </c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ht="17.25" customHeight="1">
      <c r="C152" s="1">
        <v>44034</v>
      </c>
      <c r="E152" s="2" t="s">
        <v>7402</v>
      </c>
      <c r="F152" s="15"/>
      <c r="G152" s="2" t="s">
        <v>7841</v>
      </c>
      <c r="H152" s="2" t="s">
        <v>7840</v>
      </c>
      <c r="I152" s="2"/>
      <c r="J152" s="2">
        <v>1</v>
      </c>
      <c r="K152" s="2"/>
      <c r="L152" s="3">
        <v>58.5</v>
      </c>
      <c r="M152" s="3">
        <v>5.85</v>
      </c>
      <c r="N152" s="3">
        <v>3.12</v>
      </c>
      <c r="O152" s="3">
        <v>5.56</v>
      </c>
      <c r="P152" s="3">
        <f>5.56-5.56</f>
        <v>0</v>
      </c>
      <c r="Q152" s="6">
        <f t="shared" ref="Q152" si="324">+L152-M152-N152+P152</f>
        <v>49.53</v>
      </c>
      <c r="R152" s="3"/>
      <c r="S152" s="3">
        <v>39.99</v>
      </c>
      <c r="T152" s="3">
        <v>3.8</v>
      </c>
      <c r="U152" s="3"/>
      <c r="V152" s="3"/>
      <c r="W152" s="3">
        <v>2.5</v>
      </c>
      <c r="X152" s="2">
        <f t="shared" ref="X152" si="325">+S152+T152++U152+V152-W152</f>
        <v>41.29</v>
      </c>
      <c r="Y152" s="6">
        <f t="shared" ref="Y152" si="326">+Q152-X152</f>
        <v>8.240000000000002</v>
      </c>
      <c r="Z152" s="6">
        <f>SUM(Y144:Y152)</f>
        <v>56.580000000000005</v>
      </c>
      <c r="AA152" s="34">
        <f>SUM(J144:J152)</f>
        <v>9</v>
      </c>
      <c r="AB152" s="2"/>
      <c r="AC152" s="3"/>
      <c r="AD152" s="2"/>
      <c r="AE152" s="2"/>
      <c r="AF152" s="2"/>
      <c r="AG152" s="2"/>
      <c r="AH152" s="2" t="s">
        <v>7843</v>
      </c>
      <c r="AI152" s="2" t="s">
        <v>7842</v>
      </c>
      <c r="AJ152" s="2"/>
      <c r="AK152" s="2"/>
      <c r="AL152" s="2" t="s">
        <v>7826</v>
      </c>
      <c r="AM152" s="2" t="s">
        <v>8356</v>
      </c>
      <c r="AN152" s="2"/>
      <c r="AO152" s="2" t="s">
        <v>8196</v>
      </c>
      <c r="AP152" s="2" t="s">
        <v>6929</v>
      </c>
      <c r="AQ152" s="48" t="s">
        <v>7844</v>
      </c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ht="17.25" customHeight="1">
      <c r="C153" s="1">
        <v>44033</v>
      </c>
      <c r="E153" s="2" t="s">
        <v>7641</v>
      </c>
      <c r="F153" s="15"/>
      <c r="G153" s="2" t="s">
        <v>7819</v>
      </c>
      <c r="H153" s="2" t="s">
        <v>8054</v>
      </c>
      <c r="I153" s="2"/>
      <c r="J153" s="2">
        <v>1</v>
      </c>
      <c r="K153" s="2"/>
      <c r="L153" s="3">
        <v>34.85</v>
      </c>
      <c r="M153" s="3">
        <v>3.48</v>
      </c>
      <c r="N153" s="3">
        <v>1.91</v>
      </c>
      <c r="O153" s="3">
        <v>1.79</v>
      </c>
      <c r="P153" s="3">
        <f>1.79-1.79</f>
        <v>0</v>
      </c>
      <c r="Q153" s="6">
        <f t="shared" ref="Q153:Q154" si="327">+L153-M153-N153+P153</f>
        <v>29.46</v>
      </c>
      <c r="R153" s="3"/>
      <c r="S153" s="3">
        <v>18.98</v>
      </c>
      <c r="T153" s="3">
        <v>0.97</v>
      </c>
      <c r="U153" s="3"/>
      <c r="V153" s="3"/>
      <c r="W153" s="3">
        <v>0.95</v>
      </c>
      <c r="X153" s="2">
        <f t="shared" ref="X153:X154" si="328">+S153+T153++U153+V153-W153</f>
        <v>19</v>
      </c>
      <c r="Y153" s="6">
        <f t="shared" ref="Y153:Y154" si="329">+Q153-X153</f>
        <v>10.46</v>
      </c>
      <c r="Z153" s="2"/>
      <c r="AA153" s="2"/>
      <c r="AB153" s="2"/>
      <c r="AC153" s="3"/>
      <c r="AD153" s="2"/>
      <c r="AE153" s="2"/>
      <c r="AF153" s="2"/>
      <c r="AG153" s="2"/>
      <c r="AH153" s="2" t="s">
        <v>7821</v>
      </c>
      <c r="AI153" s="2" t="s">
        <v>7820</v>
      </c>
      <c r="AJ153" s="2"/>
      <c r="AK153" s="2"/>
      <c r="AL153" s="2" t="s">
        <v>7833</v>
      </c>
      <c r="AM153" s="2" t="s">
        <v>8729</v>
      </c>
      <c r="AN153" s="2"/>
      <c r="AO153" s="2" t="s">
        <v>8055</v>
      </c>
      <c r="AP153" s="2" t="s">
        <v>6929</v>
      </c>
      <c r="AQ153" s="2" t="s">
        <v>7579</v>
      </c>
      <c r="AR153" s="16" t="s">
        <v>8790</v>
      </c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ht="17.25" customHeight="1">
      <c r="C154" s="1">
        <v>44033</v>
      </c>
      <c r="E154" s="2" t="s">
        <v>7815</v>
      </c>
      <c r="F154" s="15"/>
      <c r="G154" s="2" t="s">
        <v>7814</v>
      </c>
      <c r="H154" s="2" t="s">
        <v>7813</v>
      </c>
      <c r="I154" s="2"/>
      <c r="J154" s="2">
        <v>1</v>
      </c>
      <c r="K154" s="2"/>
      <c r="L154" s="3">
        <v>84.5</v>
      </c>
      <c r="M154" s="3">
        <v>8.4499999999999993</v>
      </c>
      <c r="N154" s="3">
        <v>4.32</v>
      </c>
      <c r="O154" s="3">
        <v>6.76</v>
      </c>
      <c r="P154" s="3">
        <f>6.76-6.76</f>
        <v>0</v>
      </c>
      <c r="Q154" s="6">
        <f t="shared" si="327"/>
        <v>71.72999999999999</v>
      </c>
      <c r="R154" s="3"/>
      <c r="S154" s="3">
        <v>65.19</v>
      </c>
      <c r="T154" s="3">
        <v>5.22</v>
      </c>
      <c r="U154" s="3"/>
      <c r="V154" s="3"/>
      <c r="W154" s="3">
        <f>6.51+0.53</f>
        <v>7.04</v>
      </c>
      <c r="X154" s="2">
        <f t="shared" si="328"/>
        <v>63.37</v>
      </c>
      <c r="Y154" s="6">
        <f t="shared" si="329"/>
        <v>8.3599999999999923</v>
      </c>
      <c r="Z154" s="2"/>
      <c r="AA154" s="2"/>
      <c r="AB154" s="2"/>
      <c r="AC154" s="3"/>
      <c r="AD154" s="2"/>
      <c r="AE154" s="2"/>
      <c r="AF154" s="2"/>
      <c r="AG154" s="2"/>
      <c r="AH154" s="2" t="s">
        <v>7817</v>
      </c>
      <c r="AI154" s="2" t="s">
        <v>7816</v>
      </c>
      <c r="AJ154" s="2"/>
      <c r="AK154" s="2"/>
      <c r="AL154" s="2" t="s">
        <v>7876</v>
      </c>
      <c r="AM154" s="16" t="s">
        <v>8354</v>
      </c>
      <c r="AN154" s="2"/>
      <c r="AO154" s="2" t="s">
        <v>8261</v>
      </c>
      <c r="AP154" s="2" t="s">
        <v>7754</v>
      </c>
      <c r="AQ154" s="2" t="s">
        <v>7818</v>
      </c>
      <c r="AR154" s="16" t="s">
        <v>8355</v>
      </c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ht="17.25" customHeight="1">
      <c r="C155" s="1">
        <v>44033</v>
      </c>
      <c r="E155" s="2" t="s">
        <v>7672</v>
      </c>
      <c r="F155" s="15"/>
      <c r="G155" s="2" t="s">
        <v>7810</v>
      </c>
      <c r="H155" s="2" t="s">
        <v>7809</v>
      </c>
      <c r="I155" s="2"/>
      <c r="J155" s="2">
        <v>1</v>
      </c>
      <c r="K155" s="2"/>
      <c r="L155" s="3">
        <v>35.5</v>
      </c>
      <c r="M155" s="3">
        <v>3.55</v>
      </c>
      <c r="N155" s="3">
        <v>1.99</v>
      </c>
      <c r="O155" s="3">
        <v>2.93</v>
      </c>
      <c r="P155" s="3">
        <f>2.93-2.93</f>
        <v>0</v>
      </c>
      <c r="Q155" s="6">
        <f t="shared" ref="Q155" si="330">+L155-M155-N155+P155</f>
        <v>29.96</v>
      </c>
      <c r="R155" s="3"/>
      <c r="S155" s="3">
        <v>18.96</v>
      </c>
      <c r="T155" s="3">
        <v>1.49</v>
      </c>
      <c r="U155" s="3"/>
      <c r="V155" s="3"/>
      <c r="W155" s="3">
        <v>0.95</v>
      </c>
      <c r="X155" s="2">
        <f t="shared" ref="X155" si="331">+S155+T155++U155+V155-W155</f>
        <v>19.5</v>
      </c>
      <c r="Y155" s="6">
        <f t="shared" ref="Y155" si="332">+Q155-X155</f>
        <v>10.46</v>
      </c>
      <c r="Z155" s="2"/>
      <c r="AA155" s="2"/>
      <c r="AB155" s="2"/>
      <c r="AC155" s="3"/>
      <c r="AD155" s="2"/>
      <c r="AE155" s="2"/>
      <c r="AF155" s="2"/>
      <c r="AG155" s="2"/>
      <c r="AH155" s="2" t="s">
        <v>7812</v>
      </c>
      <c r="AI155" s="2" t="s">
        <v>7811</v>
      </c>
      <c r="AJ155" s="2"/>
      <c r="AK155" s="2"/>
      <c r="AL155" s="2" t="s">
        <v>7826</v>
      </c>
      <c r="AM155" s="2" t="s">
        <v>8132</v>
      </c>
      <c r="AN155" s="2"/>
      <c r="AO155" s="2" t="s">
        <v>8034</v>
      </c>
      <c r="AP155" s="2" t="s">
        <v>6929</v>
      </c>
      <c r="AQ155" s="2" t="s">
        <v>7672</v>
      </c>
      <c r="AR155" s="16" t="s">
        <v>8262</v>
      </c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ht="17.25" customHeight="1">
      <c r="C156" s="1">
        <v>44033</v>
      </c>
      <c r="E156" s="2" t="s">
        <v>7802</v>
      </c>
      <c r="F156" s="15"/>
      <c r="G156" s="2" t="s">
        <v>7801</v>
      </c>
      <c r="H156" s="2" t="s">
        <v>7800</v>
      </c>
      <c r="I156" s="2"/>
      <c r="J156" s="2">
        <v>1</v>
      </c>
      <c r="K156" s="2"/>
      <c r="L156" s="3">
        <v>17.75</v>
      </c>
      <c r="M156" s="3">
        <v>1.77</v>
      </c>
      <c r="N156" s="3">
        <v>1.1299999999999999</v>
      </c>
      <c r="O156" s="3">
        <v>1.07</v>
      </c>
      <c r="P156" s="3">
        <f>1.07-1.07</f>
        <v>0</v>
      </c>
      <c r="Q156" s="6">
        <f t="shared" ref="Q156:Q157" si="333">+L156-M156-N156+P156</f>
        <v>14.850000000000001</v>
      </c>
      <c r="R156" s="3"/>
      <c r="S156" s="3">
        <v>10.99</v>
      </c>
      <c r="T156" s="3">
        <v>0.66</v>
      </c>
      <c r="U156" s="3"/>
      <c r="V156" s="3"/>
      <c r="W156" s="3"/>
      <c r="X156" s="2">
        <f t="shared" ref="X156" si="334">+S156+T156++U156+V156-W156</f>
        <v>11.65</v>
      </c>
      <c r="Y156" s="6">
        <f t="shared" ref="Y156" si="335">+Q156-X156</f>
        <v>3.2000000000000011</v>
      </c>
      <c r="Z156" s="2"/>
      <c r="AA156" s="2"/>
      <c r="AB156" s="2"/>
      <c r="AC156" s="3"/>
      <c r="AD156" s="2"/>
      <c r="AE156" s="2"/>
      <c r="AF156" s="2"/>
      <c r="AG156" s="2"/>
      <c r="AH156" s="2" t="s">
        <v>7806</v>
      </c>
      <c r="AI156" s="2" t="s">
        <v>7805</v>
      </c>
      <c r="AJ156" s="2"/>
      <c r="AK156" s="2"/>
      <c r="AL156" s="2" t="s">
        <v>7826</v>
      </c>
      <c r="AM156" s="2" t="s">
        <v>8273</v>
      </c>
      <c r="AN156" s="2"/>
      <c r="AO156" s="2" t="s">
        <v>8210</v>
      </c>
      <c r="AP156" s="2" t="s">
        <v>7804</v>
      </c>
      <c r="AQ156" s="16" t="s">
        <v>7803</v>
      </c>
      <c r="AR156" s="16" t="s">
        <v>8307</v>
      </c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ht="17.25" customHeight="1">
      <c r="C157" s="1">
        <v>44033</v>
      </c>
      <c r="E157" s="2" t="s">
        <v>7586</v>
      </c>
      <c r="F157" s="15"/>
      <c r="G157" s="2" t="s">
        <v>7797</v>
      </c>
      <c r="H157" s="2" t="s">
        <v>7796</v>
      </c>
      <c r="I157" s="2"/>
      <c r="J157" s="2">
        <v>1</v>
      </c>
      <c r="K157" s="2"/>
      <c r="L157" s="3">
        <v>59.5</v>
      </c>
      <c r="M157" s="3">
        <v>5.95</v>
      </c>
      <c r="N157" s="3">
        <v>3.11</v>
      </c>
      <c r="O157" s="3">
        <v>4.3099999999999996</v>
      </c>
      <c r="P157" s="3">
        <f>4.31-4.31</f>
        <v>0</v>
      </c>
      <c r="Q157" s="6">
        <f t="shared" si="333"/>
        <v>50.44</v>
      </c>
      <c r="R157" s="3"/>
      <c r="S157" s="3">
        <v>39.39</v>
      </c>
      <c r="T157" s="3">
        <v>2.85</v>
      </c>
      <c r="U157" s="3">
        <v>0</v>
      </c>
      <c r="V157" s="3"/>
      <c r="W157" s="3">
        <v>0</v>
      </c>
      <c r="X157" s="2">
        <f t="shared" ref="X157" si="336">+S157+T157++U157+V157-W157</f>
        <v>42.24</v>
      </c>
      <c r="Y157" s="6">
        <f t="shared" ref="Y157" si="337">+Q157-X157</f>
        <v>8.1999999999999957</v>
      </c>
      <c r="Z157" s="2"/>
      <c r="AA157" s="2"/>
      <c r="AB157" s="2"/>
      <c r="AC157" s="3"/>
      <c r="AD157" s="2"/>
      <c r="AE157" s="2"/>
      <c r="AF157" s="2"/>
      <c r="AG157" s="2"/>
      <c r="AH157" s="2" t="s">
        <v>7799</v>
      </c>
      <c r="AI157" s="2" t="s">
        <v>7798</v>
      </c>
      <c r="AJ157" s="2"/>
      <c r="AK157" s="2"/>
      <c r="AL157" s="2" t="s">
        <v>7833</v>
      </c>
      <c r="AM157" s="16" t="s">
        <v>8025</v>
      </c>
      <c r="AN157" s="2"/>
      <c r="AO157" s="2" t="s">
        <v>7807</v>
      </c>
      <c r="AP157" s="2" t="s">
        <v>7561</v>
      </c>
      <c r="AQ157" s="2" t="s">
        <v>7590</v>
      </c>
      <c r="AR157" s="16" t="s">
        <v>7808</v>
      </c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ht="17.25" customHeight="1">
      <c r="C158" s="1">
        <v>44033</v>
      </c>
      <c r="E158" s="2" t="s">
        <v>7641</v>
      </c>
      <c r="F158" s="15"/>
      <c r="G158" s="2" t="s">
        <v>7793</v>
      </c>
      <c r="H158" s="2" t="s">
        <v>7792</v>
      </c>
      <c r="I158" s="2"/>
      <c r="J158" s="2">
        <v>1</v>
      </c>
      <c r="K158" s="2"/>
      <c r="L158" s="3">
        <v>34.85</v>
      </c>
      <c r="M158" s="3">
        <v>3.48</v>
      </c>
      <c r="N158" s="3">
        <v>1.94</v>
      </c>
      <c r="O158" s="3">
        <v>2.44</v>
      </c>
      <c r="P158" s="3">
        <f>2.44-2.44</f>
        <v>0</v>
      </c>
      <c r="Q158" s="6">
        <f t="shared" ref="Q158" si="338">+L158-M158-N158+P158</f>
        <v>29.43</v>
      </c>
      <c r="R158" s="3"/>
      <c r="S158" s="3">
        <v>18.98</v>
      </c>
      <c r="T158" s="3">
        <v>1.33</v>
      </c>
      <c r="U158" s="3"/>
      <c r="V158" s="3"/>
      <c r="W158" s="3">
        <v>0.95</v>
      </c>
      <c r="X158" s="2">
        <f t="shared" ref="X158" si="339">+S158+T158++U158+V158-W158</f>
        <v>19.360000000000003</v>
      </c>
      <c r="Y158" s="6">
        <f t="shared" ref="Y158" si="340">+Q158-X158</f>
        <v>10.069999999999997</v>
      </c>
      <c r="Z158" s="6">
        <f>SUM(Y153:Y158)</f>
        <v>50.749999999999986</v>
      </c>
      <c r="AA158" s="34">
        <f>SUM(J153:J158)</f>
        <v>6</v>
      </c>
      <c r="AB158" s="2"/>
      <c r="AC158" s="3"/>
      <c r="AD158" s="2"/>
      <c r="AE158" s="2"/>
      <c r="AF158" s="2"/>
      <c r="AG158" s="2"/>
      <c r="AH158" s="2" t="s">
        <v>7795</v>
      </c>
      <c r="AI158" s="2" t="s">
        <v>7794</v>
      </c>
      <c r="AJ158" s="2"/>
      <c r="AK158" s="2"/>
      <c r="AL158" s="2" t="s">
        <v>7873</v>
      </c>
      <c r="AM158" s="16" t="s">
        <v>8134</v>
      </c>
      <c r="AN158" s="2"/>
      <c r="AO158" s="2" t="s">
        <v>8057</v>
      </c>
      <c r="AP158" s="2" t="s">
        <v>6929</v>
      </c>
      <c r="AQ158" s="2" t="s">
        <v>7579</v>
      </c>
      <c r="AR158" s="16" t="s">
        <v>7902</v>
      </c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ht="17.25" customHeight="1">
      <c r="C159" s="1">
        <v>44032</v>
      </c>
      <c r="E159" s="2" t="s">
        <v>7596</v>
      </c>
      <c r="F159" s="15"/>
      <c r="G159" s="2" t="s">
        <v>7773</v>
      </c>
      <c r="H159" s="2" t="s">
        <v>7772</v>
      </c>
      <c r="I159" s="2"/>
      <c r="J159" s="2">
        <v>2</v>
      </c>
      <c r="K159" s="2"/>
      <c r="L159" s="3">
        <v>35</v>
      </c>
      <c r="M159" s="3">
        <v>3.5</v>
      </c>
      <c r="N159" s="3">
        <v>1.95</v>
      </c>
      <c r="O159" s="3">
        <v>2.4500000000000002</v>
      </c>
      <c r="P159" s="3">
        <f>2.45-2.45</f>
        <v>0</v>
      </c>
      <c r="Q159" s="6">
        <f t="shared" ref="Q159" si="341">+L159-M159-N159+P159</f>
        <v>29.55</v>
      </c>
      <c r="R159" s="3"/>
      <c r="S159" s="3">
        <v>18.88</v>
      </c>
      <c r="T159" s="3">
        <v>1.32</v>
      </c>
      <c r="U159" s="3"/>
      <c r="V159" s="3"/>
      <c r="W159" s="3">
        <v>1</v>
      </c>
      <c r="X159" s="3">
        <f t="shared" ref="X159" si="342">+S159+T159++U159+V159-W159</f>
        <v>19.2</v>
      </c>
      <c r="Y159" s="6">
        <f t="shared" ref="Y159" si="343">+Q159-X159</f>
        <v>10.350000000000001</v>
      </c>
      <c r="Z159" s="2"/>
      <c r="AA159" s="2"/>
      <c r="AB159" s="2"/>
      <c r="AC159" s="3"/>
      <c r="AD159" s="2"/>
      <c r="AE159" s="2"/>
      <c r="AF159" s="2"/>
      <c r="AG159" s="2"/>
      <c r="AH159" s="2" t="s">
        <v>7775</v>
      </c>
      <c r="AI159" s="2" t="s">
        <v>7774</v>
      </c>
      <c r="AJ159" s="2"/>
      <c r="AK159" s="2"/>
      <c r="AL159" s="2" t="s">
        <v>7833</v>
      </c>
      <c r="AM159" s="2" t="s">
        <v>8385</v>
      </c>
      <c r="AN159" s="2"/>
      <c r="AO159" s="2" t="s">
        <v>8194</v>
      </c>
      <c r="AP159" s="2" t="s">
        <v>7762</v>
      </c>
      <c r="AQ159" s="2" t="s">
        <v>7622</v>
      </c>
      <c r="AR159" s="19" t="s">
        <v>8195</v>
      </c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ht="17.25" customHeight="1">
      <c r="C160" s="1">
        <v>44032</v>
      </c>
      <c r="E160" s="2" t="s">
        <v>7759</v>
      </c>
      <c r="F160" s="15"/>
      <c r="G160" s="2" t="s">
        <v>7769</v>
      </c>
      <c r="H160" s="2" t="s">
        <v>7768</v>
      </c>
      <c r="I160" s="2"/>
      <c r="J160" s="2">
        <v>1</v>
      </c>
      <c r="K160" s="2"/>
      <c r="L160" s="3">
        <v>84.5</v>
      </c>
      <c r="M160" s="3">
        <v>8.4499999999999993</v>
      </c>
      <c r="N160" s="3">
        <v>4.28</v>
      </c>
      <c r="O160" s="3">
        <v>5.92</v>
      </c>
      <c r="P160" s="3">
        <f>5.92-5.92</f>
        <v>0</v>
      </c>
      <c r="Q160" s="6">
        <f t="shared" ref="Q160" si="344">+L160-M160-N160+P160</f>
        <v>71.77</v>
      </c>
      <c r="R160" s="3"/>
      <c r="S160" s="3">
        <v>65.19</v>
      </c>
      <c r="T160" s="3">
        <v>4.5599999999999996</v>
      </c>
      <c r="U160" s="3"/>
      <c r="V160" s="3"/>
      <c r="W160" s="3">
        <f>6.51+0.45</f>
        <v>6.96</v>
      </c>
      <c r="X160" s="2">
        <f t="shared" ref="X160" si="345">+S160+T160++U160+V160-W160</f>
        <v>62.79</v>
      </c>
      <c r="Y160" s="6">
        <f t="shared" ref="Y160" si="346">+Q160-X160</f>
        <v>8.9799999999999969</v>
      </c>
      <c r="Z160" s="2"/>
      <c r="AA160" s="2"/>
      <c r="AB160" s="2"/>
      <c r="AC160" s="3"/>
      <c r="AD160" s="2"/>
      <c r="AE160" s="2"/>
      <c r="AF160" s="2"/>
      <c r="AG160" s="2"/>
      <c r="AH160" s="2" t="s">
        <v>7771</v>
      </c>
      <c r="AI160" s="2" t="s">
        <v>7770</v>
      </c>
      <c r="AJ160" s="2"/>
      <c r="AK160" s="2"/>
      <c r="AL160" s="2" t="s">
        <v>7876</v>
      </c>
      <c r="AM160" s="16" t="s">
        <v>8352</v>
      </c>
      <c r="AN160" s="2"/>
      <c r="AO160" s="2" t="s">
        <v>8193</v>
      </c>
      <c r="AP160" s="2" t="s">
        <v>7761</v>
      </c>
      <c r="AQ160" s="2" t="s">
        <v>7760</v>
      </c>
      <c r="AR160" s="16" t="s">
        <v>8353</v>
      </c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3:58" ht="17.25" customHeight="1">
      <c r="C161" s="1">
        <v>44032</v>
      </c>
      <c r="E161" s="2" t="s">
        <v>7763</v>
      </c>
      <c r="F161" s="15"/>
      <c r="G161" s="2" t="s">
        <v>7765</v>
      </c>
      <c r="H161" s="2" t="s">
        <v>7764</v>
      </c>
      <c r="I161" s="2"/>
      <c r="J161" s="2">
        <v>1</v>
      </c>
      <c r="K161" s="2"/>
      <c r="L161" s="3">
        <v>33.85</v>
      </c>
      <c r="M161" s="3">
        <v>3.38</v>
      </c>
      <c r="N161" s="3">
        <v>1.92</v>
      </c>
      <c r="O161" s="3">
        <v>0</v>
      </c>
      <c r="P161" s="3">
        <v>2.91</v>
      </c>
      <c r="Q161" s="6">
        <f t="shared" ref="Q161" si="347">+L161-M161-N161+P161</f>
        <v>31.460000000000004</v>
      </c>
      <c r="R161" s="3"/>
      <c r="S161" s="3">
        <v>22.49</v>
      </c>
      <c r="T161" s="3">
        <v>1.93</v>
      </c>
      <c r="U161" s="3"/>
      <c r="V161" s="3"/>
      <c r="W161" s="3">
        <v>1.1200000000000001</v>
      </c>
      <c r="X161" s="3">
        <f t="shared" ref="X161" si="348">+S161+T161++U161+V161-W161</f>
        <v>23.299999999999997</v>
      </c>
      <c r="Y161" s="6">
        <f t="shared" ref="Y161" si="349">+Q161-X161</f>
        <v>8.1600000000000072</v>
      </c>
      <c r="Z161" s="2"/>
      <c r="AA161" s="2"/>
      <c r="AB161" s="2"/>
      <c r="AC161" s="3"/>
      <c r="AD161" s="2"/>
      <c r="AE161" s="2"/>
      <c r="AF161" s="2"/>
      <c r="AG161" s="2"/>
      <c r="AH161" s="2" t="s">
        <v>7767</v>
      </c>
      <c r="AI161" s="2" t="s">
        <v>7766</v>
      </c>
      <c r="AJ161" s="2"/>
      <c r="AK161" s="2"/>
      <c r="AL161" s="2" t="s">
        <v>7873</v>
      </c>
      <c r="AM161" s="16" t="s">
        <v>8265</v>
      </c>
      <c r="AN161" s="2"/>
      <c r="AO161" s="2" t="s">
        <v>8159</v>
      </c>
      <c r="AP161" s="2" t="s">
        <v>7762</v>
      </c>
      <c r="AQ161" s="2" t="s">
        <v>8160</v>
      </c>
      <c r="AR161" s="16" t="s">
        <v>8259</v>
      </c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3:58" ht="17.25" customHeight="1">
      <c r="C162" s="1">
        <v>44032</v>
      </c>
      <c r="E162" s="2" t="s">
        <v>7586</v>
      </c>
      <c r="F162" s="15"/>
      <c r="G162" s="2" t="s">
        <v>7749</v>
      </c>
      <c r="H162" s="2" t="s">
        <v>7748</v>
      </c>
      <c r="I162" s="2"/>
      <c r="J162" s="2">
        <v>1</v>
      </c>
      <c r="K162" s="2"/>
      <c r="L162" s="3">
        <v>59.5</v>
      </c>
      <c r="M162" s="3">
        <v>5.95</v>
      </c>
      <c r="N162" s="3">
        <v>2.95</v>
      </c>
      <c r="O162" s="3">
        <v>4.17</v>
      </c>
      <c r="P162" s="3">
        <f>4.17-4.17</f>
        <v>0</v>
      </c>
      <c r="Q162" s="6">
        <f t="shared" ref="Q162" si="350">+L162-M162-N162+P162</f>
        <v>50.599999999999994</v>
      </c>
      <c r="R162" s="3"/>
      <c r="S162" s="3">
        <v>39.49</v>
      </c>
      <c r="T162" s="3">
        <v>2.76</v>
      </c>
      <c r="U162" s="3">
        <v>0</v>
      </c>
      <c r="V162" s="3"/>
      <c r="W162" s="3">
        <v>0</v>
      </c>
      <c r="X162" s="2">
        <f t="shared" ref="X162" si="351">+S162+T162++U162+V162-W162</f>
        <v>42.25</v>
      </c>
      <c r="Y162" s="6">
        <f t="shared" ref="Y162" si="352">+Q162-X162</f>
        <v>8.3499999999999943</v>
      </c>
      <c r="Z162" s="2"/>
      <c r="AA162" s="2"/>
      <c r="AB162" s="2"/>
      <c r="AC162" s="3"/>
      <c r="AD162" s="2"/>
      <c r="AE162" s="2"/>
      <c r="AF162" s="2"/>
      <c r="AG162" s="2"/>
      <c r="AH162" s="2" t="s">
        <v>7751</v>
      </c>
      <c r="AI162" s="2" t="s">
        <v>7750</v>
      </c>
      <c r="AJ162" s="2"/>
      <c r="AK162" s="2"/>
      <c r="AL162" s="2" t="s">
        <v>7873</v>
      </c>
      <c r="AM162" s="16" t="s">
        <v>7872</v>
      </c>
      <c r="AN162" s="2"/>
      <c r="AO162" s="2" t="s">
        <v>7753</v>
      </c>
      <c r="AP162" s="2" t="s">
        <v>7561</v>
      </c>
      <c r="AQ162" s="2" t="s">
        <v>7590</v>
      </c>
      <c r="AR162" s="16" t="s">
        <v>7592</v>
      </c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3:58" ht="17.25" customHeight="1">
      <c r="C163" s="1">
        <v>44032</v>
      </c>
      <c r="E163" s="2" t="s">
        <v>7747</v>
      </c>
      <c r="F163" s="15"/>
      <c r="G163" s="2" t="s">
        <v>7749</v>
      </c>
      <c r="H163" s="2" t="s">
        <v>7748</v>
      </c>
      <c r="I163" s="2"/>
      <c r="J163" s="2">
        <v>1</v>
      </c>
      <c r="K163" s="2"/>
      <c r="L163" s="3">
        <v>61.25</v>
      </c>
      <c r="M163" s="3">
        <v>6.12</v>
      </c>
      <c r="N163" s="3">
        <v>3.04</v>
      </c>
      <c r="O163" s="3">
        <v>4.29</v>
      </c>
      <c r="P163" s="3">
        <f>4.29-4.29</f>
        <v>0</v>
      </c>
      <c r="Q163" s="6">
        <f t="shared" ref="Q163:Q164" si="353">+L163-M163-N163+P163</f>
        <v>52.09</v>
      </c>
      <c r="R163" s="3"/>
      <c r="S163" s="3">
        <v>42.35</v>
      </c>
      <c r="T163" s="3">
        <v>2.96</v>
      </c>
      <c r="U163" s="3">
        <v>0</v>
      </c>
      <c r="V163" s="3"/>
      <c r="W163" s="3">
        <v>0</v>
      </c>
      <c r="X163" s="2">
        <f t="shared" ref="X163:X164" si="354">+S163+T163++U163+V163-W163</f>
        <v>45.31</v>
      </c>
      <c r="Y163" s="6">
        <f t="shared" ref="Y163:Y164" si="355">+Q163-X163</f>
        <v>6.7800000000000011</v>
      </c>
      <c r="Z163" s="2"/>
      <c r="AA163" s="2"/>
      <c r="AB163" s="2"/>
      <c r="AC163" s="3"/>
      <c r="AD163" s="2"/>
      <c r="AE163" s="2"/>
      <c r="AF163" s="2"/>
      <c r="AG163" s="2"/>
      <c r="AH163" s="2" t="s">
        <v>7751</v>
      </c>
      <c r="AI163" s="2" t="s">
        <v>7750</v>
      </c>
      <c r="AJ163" s="2"/>
      <c r="AK163" s="2"/>
      <c r="AL163" s="2" t="s">
        <v>7873</v>
      </c>
      <c r="AM163" s="16" t="s">
        <v>7874</v>
      </c>
      <c r="AN163" s="2"/>
      <c r="AO163" s="2" t="s">
        <v>7753</v>
      </c>
      <c r="AP163" s="2" t="s">
        <v>7561</v>
      </c>
      <c r="AQ163" s="2" t="s">
        <v>7752</v>
      </c>
      <c r="AR163" s="16" t="s">
        <v>7592</v>
      </c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ht="17.25" customHeight="1">
      <c r="C164" s="1">
        <v>44032</v>
      </c>
      <c r="E164" s="2" t="s">
        <v>7612</v>
      </c>
      <c r="F164" s="15"/>
      <c r="G164" s="2" t="s">
        <v>7755</v>
      </c>
      <c r="H164" s="2" t="s">
        <v>7756</v>
      </c>
      <c r="I164" s="2"/>
      <c r="J164" s="2">
        <v>1</v>
      </c>
      <c r="K164" s="2"/>
      <c r="L164" s="3">
        <v>84.5</v>
      </c>
      <c r="M164" s="3">
        <v>8.4499999999999993</v>
      </c>
      <c r="N164" s="3">
        <v>4.28</v>
      </c>
      <c r="O164" s="3"/>
      <c r="P164" s="3">
        <v>5.92</v>
      </c>
      <c r="Q164" s="6">
        <f t="shared" si="353"/>
        <v>77.69</v>
      </c>
      <c r="R164" s="3"/>
      <c r="S164" s="3">
        <v>65.19</v>
      </c>
      <c r="T164" s="3">
        <v>0</v>
      </c>
      <c r="U164" s="3"/>
      <c r="V164" s="3"/>
      <c r="W164" s="41">
        <v>6.51</v>
      </c>
      <c r="X164" s="2">
        <f t="shared" si="354"/>
        <v>58.68</v>
      </c>
      <c r="Y164" s="6">
        <f t="shared" si="355"/>
        <v>19.009999999999998</v>
      </c>
      <c r="Z164" s="6">
        <f>SUM(Y159:Y164)</f>
        <v>61.63</v>
      </c>
      <c r="AA164" s="34">
        <f>SUM(J159:J164)</f>
        <v>7</v>
      </c>
      <c r="AB164" s="2"/>
      <c r="AC164" s="3"/>
      <c r="AD164" s="2"/>
      <c r="AE164" s="2"/>
      <c r="AF164" s="2"/>
      <c r="AG164" s="2"/>
      <c r="AH164" s="2" t="s">
        <v>7758</v>
      </c>
      <c r="AI164" s="2" t="s">
        <v>7757</v>
      </c>
      <c r="AJ164" s="2"/>
      <c r="AK164" s="2"/>
      <c r="AL164" s="2" t="s">
        <v>7876</v>
      </c>
      <c r="AM164" s="16" t="s">
        <v>8026</v>
      </c>
      <c r="AN164" s="2"/>
      <c r="AO164" s="2" t="s">
        <v>7972</v>
      </c>
      <c r="AP164" s="2" t="s">
        <v>7754</v>
      </c>
      <c r="AQ164" s="2" t="s">
        <v>7640</v>
      </c>
      <c r="AR164" s="16" t="s">
        <v>7958</v>
      </c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ht="17.25" customHeight="1">
      <c r="C165" s="1">
        <v>44031</v>
      </c>
      <c r="E165" s="2" t="s">
        <v>7739</v>
      </c>
      <c r="F165" s="15"/>
      <c r="G165" s="2" t="s">
        <v>7738</v>
      </c>
      <c r="H165" s="2" t="s">
        <v>8151</v>
      </c>
      <c r="I165" s="2"/>
      <c r="J165" s="2">
        <v>1</v>
      </c>
      <c r="K165" s="2"/>
      <c r="L165" s="3">
        <v>59.5</v>
      </c>
      <c r="M165" s="3">
        <v>5.95</v>
      </c>
      <c r="N165" s="3">
        <v>3.04</v>
      </c>
      <c r="O165" s="3">
        <v>2.68</v>
      </c>
      <c r="P165" s="3">
        <f>2.68-2.68</f>
        <v>0</v>
      </c>
      <c r="Q165" s="6">
        <f t="shared" ref="Q165" si="356">+L165-M165-N165+P165</f>
        <v>50.51</v>
      </c>
      <c r="R165" s="3"/>
      <c r="S165" s="3">
        <v>34</v>
      </c>
      <c r="T165" s="3">
        <v>1.6</v>
      </c>
      <c r="U165" s="3"/>
      <c r="V165" s="3"/>
      <c r="W165" s="3">
        <v>1.7</v>
      </c>
      <c r="X165" s="2">
        <f t="shared" ref="X165" si="357">+S165+T165++U165+V165-W165</f>
        <v>33.9</v>
      </c>
      <c r="Y165" s="6">
        <f t="shared" ref="Y165" si="358">+Q165-X165</f>
        <v>16.61</v>
      </c>
      <c r="Z165" s="2"/>
      <c r="AA165" s="2"/>
      <c r="AB165" s="2"/>
      <c r="AC165" s="3"/>
      <c r="AD165" s="2"/>
      <c r="AE165" s="2"/>
      <c r="AF165" s="2"/>
      <c r="AG165" s="2"/>
      <c r="AH165" s="2" t="s">
        <v>7741</v>
      </c>
      <c r="AI165" s="2" t="s">
        <v>7740</v>
      </c>
      <c r="AJ165" s="2"/>
      <c r="AK165" s="2"/>
      <c r="AL165" s="2" t="s">
        <v>7833</v>
      </c>
      <c r="AM165" s="16" t="s">
        <v>8881</v>
      </c>
      <c r="AN165" s="2"/>
      <c r="AO165" s="2" t="s">
        <v>8149</v>
      </c>
      <c r="AP165" s="2" t="s">
        <v>6929</v>
      </c>
      <c r="AQ165" s="2" t="s">
        <v>7704</v>
      </c>
      <c r="AR165" s="16" t="s">
        <v>8150</v>
      </c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ht="17.25" customHeight="1">
      <c r="C166" s="1">
        <v>44031</v>
      </c>
      <c r="E166" s="2" t="s">
        <v>7715</v>
      </c>
      <c r="F166" s="15"/>
      <c r="G166" s="2" t="s">
        <v>7718</v>
      </c>
      <c r="H166" s="2" t="s">
        <v>7717</v>
      </c>
      <c r="I166" s="2"/>
      <c r="J166" s="2">
        <v>1</v>
      </c>
      <c r="K166" s="2"/>
      <c r="L166" s="3">
        <v>33.549999999999997</v>
      </c>
      <c r="M166" s="3">
        <v>3.35</v>
      </c>
      <c r="N166" s="3">
        <v>1.86</v>
      </c>
      <c r="O166" s="3">
        <v>1.85</v>
      </c>
      <c r="P166" s="3">
        <f>1.85-1.85</f>
        <v>0</v>
      </c>
      <c r="Q166" s="6">
        <f t="shared" ref="Q166" si="359">+L166-M166-N166+P166</f>
        <v>28.339999999999996</v>
      </c>
      <c r="R166" s="3"/>
      <c r="S166" s="3">
        <v>16.95</v>
      </c>
      <c r="T166" s="3">
        <v>1.21</v>
      </c>
      <c r="U166" s="3">
        <v>5</v>
      </c>
      <c r="V166" s="3"/>
      <c r="W166" s="3">
        <v>0</v>
      </c>
      <c r="X166" s="2">
        <f t="shared" ref="X166" si="360">+S166+T166++U166+V166-W166</f>
        <v>23.16</v>
      </c>
      <c r="Y166" s="6">
        <f t="shared" ref="Y166" si="361">+Q166-X166</f>
        <v>5.1799999999999962</v>
      </c>
      <c r="Z166" s="2"/>
      <c r="AA166" s="2"/>
      <c r="AB166" s="2"/>
      <c r="AC166" s="3"/>
      <c r="AD166" s="2"/>
      <c r="AE166" s="2"/>
      <c r="AF166" s="2"/>
      <c r="AG166" s="2"/>
      <c r="AH166" s="2" t="s">
        <v>7720</v>
      </c>
      <c r="AI166" s="2" t="s">
        <v>7719</v>
      </c>
      <c r="AJ166" s="2"/>
      <c r="AK166" s="2"/>
      <c r="AL166" s="2" t="s">
        <v>7833</v>
      </c>
      <c r="AM166" s="2" t="s">
        <v>8135</v>
      </c>
      <c r="AN166" s="2"/>
      <c r="AO166" s="16" t="s">
        <v>8052</v>
      </c>
      <c r="AP166" s="2" t="s">
        <v>2210</v>
      </c>
      <c r="AQ166" s="2" t="s">
        <v>7721</v>
      </c>
      <c r="AR166" s="16" t="s">
        <v>8136</v>
      </c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ht="17.25" customHeight="1">
      <c r="C167" s="1">
        <v>44031</v>
      </c>
      <c r="E167" s="2" t="s">
        <v>7641</v>
      </c>
      <c r="F167" s="15"/>
      <c r="G167" s="2" t="s">
        <v>7705</v>
      </c>
      <c r="H167" s="2" t="s">
        <v>7716</v>
      </c>
      <c r="I167" s="2"/>
      <c r="J167" s="2">
        <v>1</v>
      </c>
      <c r="K167" s="2"/>
      <c r="L167" s="3">
        <v>34.85</v>
      </c>
      <c r="M167" s="3">
        <v>3.48</v>
      </c>
      <c r="N167" s="3">
        <v>1.83</v>
      </c>
      <c r="O167" s="3">
        <v>0</v>
      </c>
      <c r="P167" s="3">
        <v>0</v>
      </c>
      <c r="Q167" s="6">
        <f t="shared" ref="Q167:Q168" si="362">+L167-M167-N167+P167</f>
        <v>29.54</v>
      </c>
      <c r="R167" s="3"/>
      <c r="S167" s="3">
        <v>18.98</v>
      </c>
      <c r="T167" s="3">
        <v>1.66</v>
      </c>
      <c r="U167" s="3"/>
      <c r="V167" s="3"/>
      <c r="W167" s="3">
        <v>0.95</v>
      </c>
      <c r="X167" s="2">
        <f t="shared" ref="X167:X168" si="363">+S167+T167++U167+V167-W167</f>
        <v>19.690000000000001</v>
      </c>
      <c r="Y167" s="6">
        <f t="shared" ref="Y167:Y168" si="364">+Q167-X167</f>
        <v>9.8499999999999979</v>
      </c>
      <c r="Z167" s="2"/>
      <c r="AA167" s="2"/>
      <c r="AB167" s="2"/>
      <c r="AC167" s="3"/>
      <c r="AD167" s="2"/>
      <c r="AE167" s="2"/>
      <c r="AF167" s="2"/>
      <c r="AG167" s="2"/>
      <c r="AH167" s="2" t="s">
        <v>7708</v>
      </c>
      <c r="AI167" s="2" t="s">
        <v>7707</v>
      </c>
      <c r="AJ167" s="2"/>
      <c r="AK167" s="2"/>
      <c r="AL167" s="2"/>
      <c r="AM167" s="2"/>
      <c r="AN167" s="2"/>
      <c r="AO167" s="2" t="s">
        <v>8152</v>
      </c>
      <c r="AP167" s="2" t="s">
        <v>6929</v>
      </c>
      <c r="AQ167" s="45" t="s">
        <v>6600</v>
      </c>
      <c r="AR167" s="16" t="s">
        <v>8142</v>
      </c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ht="17.25" customHeight="1">
      <c r="C168" s="1">
        <v>44031</v>
      </c>
      <c r="E168" s="2" t="s">
        <v>7706</v>
      </c>
      <c r="F168" s="15"/>
      <c r="G168" s="2" t="s">
        <v>7705</v>
      </c>
      <c r="H168" s="2" t="s">
        <v>7716</v>
      </c>
      <c r="I168" s="2"/>
      <c r="J168" s="2">
        <v>1</v>
      </c>
      <c r="K168" s="2"/>
      <c r="L168" s="3">
        <v>17.5</v>
      </c>
      <c r="M168" s="3">
        <v>1.75</v>
      </c>
      <c r="N168" s="3">
        <v>1.07</v>
      </c>
      <c r="O168" s="3">
        <v>1.0900000000000001</v>
      </c>
      <c r="P168" s="3">
        <f>1.09-1.09</f>
        <v>0</v>
      </c>
      <c r="Q168" s="6">
        <f t="shared" si="362"/>
        <v>14.68</v>
      </c>
      <c r="R168" s="3"/>
      <c r="S168" s="3">
        <v>9.44</v>
      </c>
      <c r="T168" s="3">
        <v>1.38</v>
      </c>
      <c r="U168" s="3"/>
      <c r="V168" s="3"/>
      <c r="W168" s="3">
        <v>0.5</v>
      </c>
      <c r="X168" s="3">
        <f t="shared" si="363"/>
        <v>10.32</v>
      </c>
      <c r="Y168" s="6">
        <f t="shared" si="364"/>
        <v>4.3599999999999994</v>
      </c>
      <c r="Z168" s="2"/>
      <c r="AA168" s="2"/>
      <c r="AB168" s="2"/>
      <c r="AC168" s="3"/>
      <c r="AD168" s="2"/>
      <c r="AE168" s="2"/>
      <c r="AF168" s="2"/>
      <c r="AG168" s="2"/>
      <c r="AH168" s="2" t="s">
        <v>7708</v>
      </c>
      <c r="AI168" s="2" t="s">
        <v>7707</v>
      </c>
      <c r="AJ168" s="2"/>
      <c r="AK168" s="2"/>
      <c r="AL168" s="2"/>
      <c r="AM168" s="2"/>
      <c r="AN168" s="2"/>
      <c r="AO168" s="2" t="s">
        <v>8152</v>
      </c>
      <c r="AP168" s="2" t="s">
        <v>6929</v>
      </c>
      <c r="AQ168" s="45" t="s">
        <v>7622</v>
      </c>
      <c r="AR168" s="16" t="s">
        <v>8142</v>
      </c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ht="17.25" customHeight="1">
      <c r="C169" s="1">
        <v>44031</v>
      </c>
      <c r="E169" s="2" t="s">
        <v>7571</v>
      </c>
      <c r="F169" s="15"/>
      <c r="G169" s="2" t="s">
        <v>7710</v>
      </c>
      <c r="H169" s="2" t="s">
        <v>7709</v>
      </c>
      <c r="I169" s="2"/>
      <c r="J169" s="2">
        <v>1</v>
      </c>
      <c r="K169" s="2"/>
      <c r="L169" s="3">
        <v>33.85</v>
      </c>
      <c r="M169" s="3">
        <v>3.38</v>
      </c>
      <c r="N169" s="3">
        <v>1.87</v>
      </c>
      <c r="O169" s="3">
        <v>1.78</v>
      </c>
      <c r="P169" s="3">
        <f>1.78-1.78</f>
        <v>0</v>
      </c>
      <c r="Q169" s="6">
        <f t="shared" ref="Q169" si="365">+L169-M169-N169+P169</f>
        <v>28.6</v>
      </c>
      <c r="R169" s="3"/>
      <c r="S169" s="3">
        <v>21.99</v>
      </c>
      <c r="T169" s="3">
        <v>1.1599999999999999</v>
      </c>
      <c r="U169" s="3"/>
      <c r="V169" s="3"/>
      <c r="W169" s="3">
        <v>1.1000000000000001</v>
      </c>
      <c r="X169" s="3">
        <f t="shared" ref="X169" si="366">+S169+T169++U169+V169-W169</f>
        <v>22.049999999999997</v>
      </c>
      <c r="Y169" s="6">
        <f t="shared" ref="Y169" si="367">+Q169-X169</f>
        <v>6.5500000000000043</v>
      </c>
      <c r="Z169" s="2"/>
      <c r="AA169" s="2"/>
      <c r="AB169" s="2"/>
      <c r="AC169" s="3"/>
      <c r="AD169" s="2"/>
      <c r="AE169" s="2"/>
      <c r="AF169" s="2"/>
      <c r="AG169" s="2"/>
      <c r="AH169" s="2" t="s">
        <v>7714</v>
      </c>
      <c r="AI169" s="2" t="s">
        <v>7713</v>
      </c>
      <c r="AJ169" s="2"/>
      <c r="AK169" s="2"/>
      <c r="AL169" s="2" t="s">
        <v>7833</v>
      </c>
      <c r="AM169" s="2" t="s">
        <v>8020</v>
      </c>
      <c r="AN169" s="2"/>
      <c r="AO169" s="2" t="s">
        <v>7886</v>
      </c>
      <c r="AP169" s="2" t="s">
        <v>6929</v>
      </c>
      <c r="AQ169" s="2" t="s">
        <v>7600</v>
      </c>
      <c r="AR169" s="16" t="s">
        <v>7879</v>
      </c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3:58" ht="17.25" customHeight="1">
      <c r="C170" s="1">
        <v>44031</v>
      </c>
      <c r="E170" s="2" t="s">
        <v>7739</v>
      </c>
      <c r="F170" s="15"/>
      <c r="G170" s="2" t="s">
        <v>7701</v>
      </c>
      <c r="H170" s="2" t="s">
        <v>7700</v>
      </c>
      <c r="I170" s="2"/>
      <c r="J170" s="2">
        <v>1</v>
      </c>
      <c r="K170" s="2"/>
      <c r="L170" s="3">
        <v>59.5</v>
      </c>
      <c r="M170" s="3">
        <v>5.95</v>
      </c>
      <c r="N170" s="3">
        <v>3.1</v>
      </c>
      <c r="O170" s="3">
        <v>4.17</v>
      </c>
      <c r="P170" s="3">
        <f>4.17-4.17</f>
        <v>0</v>
      </c>
      <c r="Q170" s="6">
        <f t="shared" ref="Q170:Q174" si="368">+L170-M170-N170+P170</f>
        <v>50.449999999999996</v>
      </c>
      <c r="R170" s="3"/>
      <c r="S170" s="3">
        <v>34</v>
      </c>
      <c r="T170" s="3">
        <v>2.38</v>
      </c>
      <c r="U170" s="3"/>
      <c r="V170" s="3"/>
      <c r="W170" s="3">
        <v>1.7</v>
      </c>
      <c r="X170" s="2">
        <f t="shared" ref="X170" si="369">+S170+T170++U170+V170-W170</f>
        <v>34.68</v>
      </c>
      <c r="Y170" s="6">
        <f t="shared" ref="Y170" si="370">+Q170-X170</f>
        <v>15.769999999999996</v>
      </c>
      <c r="Z170" s="2"/>
      <c r="AA170" s="2"/>
      <c r="AB170" s="2"/>
      <c r="AC170" s="3"/>
      <c r="AD170" s="2"/>
      <c r="AE170" s="2"/>
      <c r="AF170" s="2"/>
      <c r="AG170" s="2"/>
      <c r="AH170" s="2" t="s">
        <v>7703</v>
      </c>
      <c r="AI170" s="2" t="s">
        <v>7702</v>
      </c>
      <c r="AJ170" s="2"/>
      <c r="AK170" s="2"/>
      <c r="AL170" s="2" t="s">
        <v>7826</v>
      </c>
      <c r="AM170" s="16" t="s">
        <v>8271</v>
      </c>
      <c r="AN170" s="2"/>
      <c r="AO170" s="2" t="s">
        <v>8148</v>
      </c>
      <c r="AP170" s="2" t="s">
        <v>6929</v>
      </c>
      <c r="AQ170" s="2" t="s">
        <v>7704</v>
      </c>
      <c r="AR170" s="16" t="s">
        <v>8267</v>
      </c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3:58" ht="17.25" customHeight="1">
      <c r="C171" s="1">
        <v>44031</v>
      </c>
      <c r="E171" s="2" t="s">
        <v>7613</v>
      </c>
      <c r="F171" s="15"/>
      <c r="G171" s="2" t="s">
        <v>7697</v>
      </c>
      <c r="H171" s="2" t="s">
        <v>7696</v>
      </c>
      <c r="I171" s="2"/>
      <c r="J171" s="2">
        <v>2</v>
      </c>
      <c r="K171" s="2"/>
      <c r="L171" s="3">
        <v>46.3</v>
      </c>
      <c r="M171" s="3">
        <v>4.63</v>
      </c>
      <c r="N171" s="3">
        <v>2.52</v>
      </c>
      <c r="O171" s="3">
        <v>4.26</v>
      </c>
      <c r="P171" s="3">
        <f>4.26-4.26</f>
        <v>0</v>
      </c>
      <c r="Q171" s="6">
        <f t="shared" si="368"/>
        <v>39.149999999999991</v>
      </c>
      <c r="R171" s="3"/>
      <c r="S171" s="3">
        <v>25.92</v>
      </c>
      <c r="T171" s="3">
        <v>2.2599999999999998</v>
      </c>
      <c r="U171" s="3"/>
      <c r="V171" s="3"/>
      <c r="W171" s="3">
        <v>1.29</v>
      </c>
      <c r="X171" s="2">
        <f t="shared" ref="X171" si="371">+S171+T171++U171+V171-W171</f>
        <v>26.89</v>
      </c>
      <c r="Y171" s="6">
        <f t="shared" ref="Y171" si="372">+Q171-X171</f>
        <v>12.259999999999991</v>
      </c>
      <c r="Z171" s="2"/>
      <c r="AA171" s="2"/>
      <c r="AB171" s="2"/>
      <c r="AC171" s="3"/>
      <c r="AD171" s="2"/>
      <c r="AE171" s="2"/>
      <c r="AF171" s="2"/>
      <c r="AG171" s="2"/>
      <c r="AH171" s="2" t="s">
        <v>7699</v>
      </c>
      <c r="AI171" s="2" t="s">
        <v>7698</v>
      </c>
      <c r="AJ171" s="2"/>
      <c r="AK171" s="2"/>
      <c r="AL171" s="2" t="s">
        <v>7873</v>
      </c>
      <c r="AM171" s="16" t="s">
        <v>8024</v>
      </c>
      <c r="AN171" s="2"/>
      <c r="AO171" s="2" t="s">
        <v>7909</v>
      </c>
      <c r="AP171" s="2" t="s">
        <v>6929</v>
      </c>
      <c r="AQ171" s="2" t="s">
        <v>7580</v>
      </c>
      <c r="AR171" s="16" t="s">
        <v>7910</v>
      </c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3:58" ht="17.25" customHeight="1">
      <c r="C172" s="1">
        <v>44031</v>
      </c>
      <c r="E172" s="2" t="s">
        <v>7987</v>
      </c>
      <c r="F172" s="15"/>
      <c r="G172" s="2" t="s">
        <v>7679</v>
      </c>
      <c r="H172" s="2" t="s">
        <v>7678</v>
      </c>
      <c r="I172" s="2"/>
      <c r="J172" s="2">
        <v>1</v>
      </c>
      <c r="K172" s="2"/>
      <c r="L172" s="3">
        <v>24.75</v>
      </c>
      <c r="M172" s="3">
        <v>2.4700000000000002</v>
      </c>
      <c r="N172" s="3">
        <v>1.47</v>
      </c>
      <c r="O172" s="3">
        <v>1.76</v>
      </c>
      <c r="P172" s="3">
        <f>1.76-1.76</f>
        <v>0</v>
      </c>
      <c r="Q172" s="6">
        <f t="shared" si="368"/>
        <v>20.810000000000002</v>
      </c>
      <c r="R172" s="3"/>
      <c r="S172" s="3">
        <v>14.06</v>
      </c>
      <c r="T172" s="3">
        <v>1</v>
      </c>
      <c r="U172" s="3"/>
      <c r="V172" s="3"/>
      <c r="W172" s="3">
        <v>0.7</v>
      </c>
      <c r="X172" s="2">
        <f t="shared" ref="X172" si="373">+S172+T172++U172+V172-W172</f>
        <v>14.360000000000001</v>
      </c>
      <c r="Y172" s="6">
        <f t="shared" ref="Y172" si="374">+Q172-X172</f>
        <v>6.4500000000000011</v>
      </c>
      <c r="Z172" s="2"/>
      <c r="AA172" s="2"/>
      <c r="AB172" s="2"/>
      <c r="AC172" s="3"/>
      <c r="AD172" s="2"/>
      <c r="AE172" s="2"/>
      <c r="AF172" s="2"/>
      <c r="AG172" s="2"/>
      <c r="AH172" s="2" t="s">
        <v>7681</v>
      </c>
      <c r="AI172" s="2" t="s">
        <v>7680</v>
      </c>
      <c r="AJ172" s="2"/>
      <c r="AK172" s="2"/>
      <c r="AL172" s="2" t="s">
        <v>7873</v>
      </c>
      <c r="AM172" s="16" t="s">
        <v>8266</v>
      </c>
      <c r="AN172" s="2"/>
      <c r="AO172" s="2" t="s">
        <v>8139</v>
      </c>
      <c r="AP172" s="2" t="s">
        <v>6929</v>
      </c>
      <c r="AQ172" s="2" t="s">
        <v>7673</v>
      </c>
      <c r="AR172" s="16" t="s">
        <v>8267</v>
      </c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3:58" ht="17.25" customHeight="1">
      <c r="C173" s="1">
        <v>44031</v>
      </c>
      <c r="E173" s="2" t="s">
        <v>7672</v>
      </c>
      <c r="F173" s="15"/>
      <c r="G173" s="2" t="s">
        <v>7683</v>
      </c>
      <c r="H173" s="2" t="s">
        <v>7682</v>
      </c>
      <c r="I173" s="2"/>
      <c r="J173" s="2">
        <v>1</v>
      </c>
      <c r="K173" s="2"/>
      <c r="L173" s="3">
        <v>35.5</v>
      </c>
      <c r="M173" s="3">
        <v>3.55</v>
      </c>
      <c r="N173" s="3">
        <v>1.98</v>
      </c>
      <c r="O173" s="3">
        <v>2.57</v>
      </c>
      <c r="P173" s="3">
        <f>2.57-2.57</f>
        <v>0</v>
      </c>
      <c r="Q173" s="6">
        <f t="shared" si="368"/>
        <v>29.97</v>
      </c>
      <c r="R173" s="3"/>
      <c r="S173" s="3">
        <v>18.97</v>
      </c>
      <c r="T173" s="3">
        <v>1.38</v>
      </c>
      <c r="U173" s="3"/>
      <c r="V173" s="3"/>
      <c r="W173" s="3">
        <v>0.95</v>
      </c>
      <c r="X173" s="2">
        <f t="shared" ref="X173" si="375">+S173+T173++U173+V173-W173</f>
        <v>19.399999999999999</v>
      </c>
      <c r="Y173" s="6">
        <f t="shared" ref="Y173" si="376">+Q173-X173</f>
        <v>10.57</v>
      </c>
      <c r="Z173" s="2"/>
      <c r="AA173" s="2"/>
      <c r="AB173" s="2"/>
      <c r="AC173" s="3"/>
      <c r="AD173" s="2"/>
      <c r="AE173" s="2"/>
      <c r="AF173" s="2"/>
      <c r="AG173" s="2"/>
      <c r="AH173" s="2" t="s">
        <v>7685</v>
      </c>
      <c r="AI173" s="2" t="s">
        <v>7684</v>
      </c>
      <c r="AJ173" s="2"/>
      <c r="AK173" s="2"/>
      <c r="AL173" s="2" t="s">
        <v>7873</v>
      </c>
      <c r="AM173" s="16" t="s">
        <v>8133</v>
      </c>
      <c r="AN173" s="2"/>
      <c r="AO173" s="2" t="s">
        <v>8033</v>
      </c>
      <c r="AP173" s="2" t="s">
        <v>6929</v>
      </c>
      <c r="AQ173" s="2" t="s">
        <v>7672</v>
      </c>
      <c r="AR173" s="16" t="s">
        <v>7902</v>
      </c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3:58" ht="17.25" customHeight="1">
      <c r="C174" s="1">
        <v>44031</v>
      </c>
      <c r="E174" s="2" t="s">
        <v>7613</v>
      </c>
      <c r="F174" s="15"/>
      <c r="G174" s="2" t="s">
        <v>7675</v>
      </c>
      <c r="H174" s="2" t="s">
        <v>7674</v>
      </c>
      <c r="I174" s="2"/>
      <c r="J174" s="2">
        <v>1</v>
      </c>
      <c r="K174" s="2"/>
      <c r="L174" s="3">
        <v>23.15</v>
      </c>
      <c r="M174" s="3">
        <v>2.31</v>
      </c>
      <c r="N174" s="3">
        <v>1.39</v>
      </c>
      <c r="O174" s="3">
        <v>0</v>
      </c>
      <c r="P174" s="3">
        <v>1.62</v>
      </c>
      <c r="Q174" s="6">
        <f t="shared" si="368"/>
        <v>21.07</v>
      </c>
      <c r="R174" s="3"/>
      <c r="S174" s="3">
        <v>12.96</v>
      </c>
      <c r="T174" s="3">
        <v>0.91</v>
      </c>
      <c r="U174" s="3"/>
      <c r="V174" s="3"/>
      <c r="W174" s="3">
        <v>0.65</v>
      </c>
      <c r="X174" s="2">
        <f t="shared" ref="X174" si="377">+S174+T174++U174+V174-W174</f>
        <v>13.22</v>
      </c>
      <c r="Y174" s="6">
        <f t="shared" ref="Y174" si="378">+Q174-X174</f>
        <v>7.85</v>
      </c>
      <c r="Z174" s="6">
        <f>SUM(Y165:Y174)</f>
        <v>95.449999999999989</v>
      </c>
      <c r="AA174" s="34">
        <f>SUM(J165:J174)</f>
        <v>11</v>
      </c>
      <c r="AB174" s="2"/>
      <c r="AC174" s="3"/>
      <c r="AD174" s="2"/>
      <c r="AE174" s="2"/>
      <c r="AF174" s="2"/>
      <c r="AG174" s="2"/>
      <c r="AH174" s="2" t="s">
        <v>7677</v>
      </c>
      <c r="AI174" s="2" t="s">
        <v>7676</v>
      </c>
      <c r="AJ174" s="2"/>
      <c r="AK174" s="2"/>
      <c r="AL174" s="2" t="s">
        <v>7826</v>
      </c>
      <c r="AM174" s="2" t="s">
        <v>8017</v>
      </c>
      <c r="AN174" s="2"/>
      <c r="AO174" s="2" t="s">
        <v>7908</v>
      </c>
      <c r="AP174" s="2" t="s">
        <v>6929</v>
      </c>
      <c r="AQ174" s="2" t="s">
        <v>7580</v>
      </c>
      <c r="AR174" s="16" t="s">
        <v>8127</v>
      </c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3:58" ht="17.25" customHeight="1">
      <c r="C175" s="1">
        <v>44030</v>
      </c>
      <c r="E175" s="2" t="s">
        <v>7641</v>
      </c>
      <c r="F175" s="15"/>
      <c r="G175" s="2" t="s">
        <v>7656</v>
      </c>
      <c r="H175" s="2" t="s">
        <v>7655</v>
      </c>
      <c r="I175" s="2"/>
      <c r="J175" s="2">
        <v>1</v>
      </c>
      <c r="K175" s="2"/>
      <c r="L175" s="3">
        <v>34.85</v>
      </c>
      <c r="M175" s="3">
        <v>3.48</v>
      </c>
      <c r="N175" s="3">
        <v>1.94</v>
      </c>
      <c r="O175" s="3">
        <v>2.44</v>
      </c>
      <c r="P175" s="3">
        <f>2.44-2.44</f>
        <v>0</v>
      </c>
      <c r="Q175" s="6">
        <f t="shared" ref="Q175" si="379">+L175-M175-N175+P175</f>
        <v>29.43</v>
      </c>
      <c r="R175" s="3"/>
      <c r="S175" s="3">
        <v>18.98</v>
      </c>
      <c r="T175" s="3">
        <v>1.33</v>
      </c>
      <c r="U175" s="3"/>
      <c r="V175" s="3"/>
      <c r="W175" s="3">
        <v>0.95</v>
      </c>
      <c r="X175" s="2">
        <f t="shared" ref="X175:X178" si="380">+S175+T175++U175+V175-W175</f>
        <v>19.360000000000003</v>
      </c>
      <c r="Y175" s="6">
        <f t="shared" ref="Y175" si="381">+Q175-X175</f>
        <v>10.069999999999997</v>
      </c>
      <c r="Z175" s="2"/>
      <c r="AA175" s="2"/>
      <c r="AB175" s="2"/>
      <c r="AC175" s="3"/>
      <c r="AD175" s="2"/>
      <c r="AE175" s="2"/>
      <c r="AF175" s="2"/>
      <c r="AG175" s="2"/>
      <c r="AH175" s="2" t="s">
        <v>7658</v>
      </c>
      <c r="AI175" s="2" t="s">
        <v>7657</v>
      </c>
      <c r="AJ175" s="2"/>
      <c r="AK175" s="2"/>
      <c r="AL175" s="2" t="s">
        <v>7826</v>
      </c>
      <c r="AM175" s="2" t="s">
        <v>8130</v>
      </c>
      <c r="AN175" s="2"/>
      <c r="AO175" s="2" t="s">
        <v>8053</v>
      </c>
      <c r="AP175" s="2" t="s">
        <v>6929</v>
      </c>
      <c r="AQ175" s="2" t="s">
        <v>7579</v>
      </c>
      <c r="AR175" s="16" t="s">
        <v>7902</v>
      </c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3:58" ht="17.25" customHeight="1">
      <c r="C176" s="1">
        <v>44030</v>
      </c>
      <c r="E176" s="2" t="s">
        <v>7613</v>
      </c>
      <c r="F176" s="15"/>
      <c r="G176" s="2" t="s">
        <v>7648</v>
      </c>
      <c r="H176" s="2" t="s">
        <v>7647</v>
      </c>
      <c r="I176" s="2"/>
      <c r="J176" s="2">
        <v>1</v>
      </c>
      <c r="K176" s="2"/>
      <c r="L176" s="3">
        <v>23.15</v>
      </c>
      <c r="M176" s="3">
        <v>2.31</v>
      </c>
      <c r="N176" s="3">
        <v>1.41</v>
      </c>
      <c r="O176" s="3">
        <v>2.14</v>
      </c>
      <c r="P176" s="3">
        <f>2.14-2.14</f>
        <v>0</v>
      </c>
      <c r="Q176" s="6">
        <f t="shared" ref="Q176:Q177" si="382">+L176-M176-N176+P176</f>
        <v>19.43</v>
      </c>
      <c r="R176" s="3"/>
      <c r="S176" s="3">
        <v>12.96</v>
      </c>
      <c r="T176" s="3">
        <v>1.2</v>
      </c>
      <c r="U176" s="3"/>
      <c r="V176" s="3"/>
      <c r="W176" s="3">
        <v>0.65</v>
      </c>
      <c r="X176" s="2">
        <f t="shared" si="380"/>
        <v>13.51</v>
      </c>
      <c r="Y176" s="6">
        <f t="shared" ref="Y176:Y177" si="383">+Q176-X176</f>
        <v>5.92</v>
      </c>
      <c r="Z176" s="2"/>
      <c r="AA176" s="2"/>
      <c r="AB176" s="2"/>
      <c r="AC176" s="3"/>
      <c r="AD176" s="2"/>
      <c r="AE176" s="2"/>
      <c r="AF176" s="2"/>
      <c r="AG176" s="2"/>
      <c r="AH176" s="2" t="s">
        <v>7650</v>
      </c>
      <c r="AI176" s="2" t="s">
        <v>7649</v>
      </c>
      <c r="AJ176" s="2"/>
      <c r="AK176" s="2"/>
      <c r="AL176" s="2" t="s">
        <v>7873</v>
      </c>
      <c r="AM176" s="16" t="s">
        <v>8019</v>
      </c>
      <c r="AN176" s="2"/>
      <c r="AO176" s="2" t="s">
        <v>7906</v>
      </c>
      <c r="AP176" s="2" t="s">
        <v>6929</v>
      </c>
      <c r="AQ176" s="2" t="s">
        <v>7580</v>
      </c>
      <c r="AR176" s="16" t="s">
        <v>7881</v>
      </c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3:58" ht="17.25" customHeight="1">
      <c r="C177" s="1">
        <v>44030</v>
      </c>
      <c r="E177" s="2" t="s">
        <v>3531</v>
      </c>
      <c r="F177" s="15"/>
      <c r="G177" s="2" t="s">
        <v>7652</v>
      </c>
      <c r="H177" s="2" t="s">
        <v>7651</v>
      </c>
      <c r="I177" s="2"/>
      <c r="J177" s="2">
        <v>1</v>
      </c>
      <c r="K177" s="2" t="s">
        <v>1499</v>
      </c>
      <c r="L177" s="3">
        <v>39.5</v>
      </c>
      <c r="M177" s="3">
        <v>3.95</v>
      </c>
      <c r="N177" s="3">
        <v>2.15</v>
      </c>
      <c r="O177" s="3">
        <v>2.62</v>
      </c>
      <c r="P177" s="3">
        <f>2.62-2.62</f>
        <v>0</v>
      </c>
      <c r="Q177" s="6">
        <f t="shared" si="382"/>
        <v>33.4</v>
      </c>
      <c r="R177" s="3"/>
      <c r="S177" s="3">
        <v>23.99</v>
      </c>
      <c r="T177" s="3">
        <v>1.59</v>
      </c>
      <c r="U177" s="3">
        <v>0</v>
      </c>
      <c r="V177" s="3"/>
      <c r="W177" s="3">
        <v>0</v>
      </c>
      <c r="X177" s="2">
        <f t="shared" ref="X177" si="384">+S177+T177++U177+V177-W177</f>
        <v>25.58</v>
      </c>
      <c r="Y177" s="6">
        <f t="shared" si="383"/>
        <v>7.82</v>
      </c>
      <c r="Z177" s="2"/>
      <c r="AA177" s="2"/>
      <c r="AB177" s="2"/>
      <c r="AC177" s="3"/>
      <c r="AD177" s="2"/>
      <c r="AE177" s="2"/>
      <c r="AF177" s="2"/>
      <c r="AG177" s="2"/>
      <c r="AH177" s="2" t="s">
        <v>7654</v>
      </c>
      <c r="AI177" s="2" t="s">
        <v>7653</v>
      </c>
      <c r="AJ177" s="2"/>
      <c r="AK177" s="2"/>
      <c r="AL177" s="2" t="s">
        <v>7833</v>
      </c>
      <c r="AM177" s="16" t="s">
        <v>8279</v>
      </c>
      <c r="AN177" s="2"/>
      <c r="AO177" s="2" t="s">
        <v>8050</v>
      </c>
      <c r="AP177" s="2" t="s">
        <v>3685</v>
      </c>
      <c r="AQ177" s="2" t="s">
        <v>7642</v>
      </c>
      <c r="AR177" s="16" t="s">
        <v>8051</v>
      </c>
      <c r="AS177" s="2" t="s">
        <v>8593</v>
      </c>
      <c r="AT177" s="16" t="s">
        <v>8580</v>
      </c>
      <c r="AU177" s="2" t="s">
        <v>8767</v>
      </c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3:58" ht="17.25" customHeight="1">
      <c r="C178" s="1">
        <v>44030</v>
      </c>
      <c r="E178" s="2" t="s">
        <v>7613</v>
      </c>
      <c r="F178" s="15"/>
      <c r="G178" s="2" t="s">
        <v>7644</v>
      </c>
      <c r="H178" s="2" t="s">
        <v>7643</v>
      </c>
      <c r="I178" s="2"/>
      <c r="J178" s="2">
        <v>1</v>
      </c>
      <c r="K178" s="2"/>
      <c r="L178" s="3">
        <v>23.15</v>
      </c>
      <c r="M178" s="3">
        <v>2.31</v>
      </c>
      <c r="N178" s="3">
        <v>1.37</v>
      </c>
      <c r="O178" s="3">
        <v>1.27</v>
      </c>
      <c r="P178" s="3">
        <f>1.27-1.27</f>
        <v>0</v>
      </c>
      <c r="Q178" s="6">
        <f t="shared" ref="Q178" si="385">+L178-M178-N178+P178</f>
        <v>19.47</v>
      </c>
      <c r="R178" s="3"/>
      <c r="S178" s="3">
        <v>12.96</v>
      </c>
      <c r="T178" s="3">
        <v>0.71</v>
      </c>
      <c r="U178" s="3"/>
      <c r="V178" s="3"/>
      <c r="W178" s="3">
        <v>0.65</v>
      </c>
      <c r="X178" s="2">
        <f t="shared" si="380"/>
        <v>13.020000000000001</v>
      </c>
      <c r="Y178" s="6">
        <f t="shared" ref="Y178" si="386">+Q178-X178</f>
        <v>6.4499999999999975</v>
      </c>
      <c r="Z178" s="2"/>
      <c r="AA178" s="2"/>
      <c r="AB178" s="2"/>
      <c r="AC178" s="3"/>
      <c r="AD178" s="2"/>
      <c r="AE178" s="2"/>
      <c r="AF178" s="2"/>
      <c r="AG178" s="2"/>
      <c r="AH178" s="2" t="s">
        <v>7646</v>
      </c>
      <c r="AI178" s="2" t="s">
        <v>7645</v>
      </c>
      <c r="AJ178" s="2"/>
      <c r="AK178" s="2"/>
      <c r="AL178" s="2" t="s">
        <v>7873</v>
      </c>
      <c r="AM178" s="16" t="s">
        <v>8124</v>
      </c>
      <c r="AN178" s="2"/>
      <c r="AO178" s="2" t="s">
        <v>7907</v>
      </c>
      <c r="AP178" s="2" t="s">
        <v>6929</v>
      </c>
      <c r="AQ178" s="2" t="s">
        <v>7580</v>
      </c>
      <c r="AR178" s="16" t="s">
        <v>7902</v>
      </c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3:58" ht="17.25" customHeight="1">
      <c r="C179" s="1">
        <v>44030</v>
      </c>
      <c r="E179" s="2" t="s">
        <v>7612</v>
      </c>
      <c r="F179" s="15"/>
      <c r="G179" s="2" t="s">
        <v>7637</v>
      </c>
      <c r="H179" s="2" t="s">
        <v>7636</v>
      </c>
      <c r="I179" s="2"/>
      <c r="J179" s="2">
        <v>1</v>
      </c>
      <c r="K179" s="2"/>
      <c r="L179" s="3">
        <v>84.5</v>
      </c>
      <c r="M179" s="3">
        <v>8.4499999999999993</v>
      </c>
      <c r="N179" s="3">
        <v>4.32</v>
      </c>
      <c r="O179" s="3">
        <v>6.97</v>
      </c>
      <c r="P179" s="3">
        <f>6.97-6.97</f>
        <v>0</v>
      </c>
      <c r="Q179" s="6">
        <f t="shared" ref="Q179" si="387">+L179-M179-N179+P179</f>
        <v>71.72999999999999</v>
      </c>
      <c r="R179" s="3"/>
      <c r="S179" s="3">
        <v>0</v>
      </c>
      <c r="T179" s="3">
        <v>0</v>
      </c>
      <c r="U179" s="3"/>
      <c r="V179" s="3">
        <v>12</v>
      </c>
      <c r="W179" s="3">
        <v>0</v>
      </c>
      <c r="X179" s="2">
        <f t="shared" ref="X179" si="388">+S179+T179++U179+V179-W179</f>
        <v>12</v>
      </c>
      <c r="Y179" s="6">
        <f t="shared" ref="Y179" si="389">+Q179-X179</f>
        <v>59.72999999999999</v>
      </c>
      <c r="Z179" s="2"/>
      <c r="AA179" s="2"/>
      <c r="AB179" s="2"/>
      <c r="AC179" s="3"/>
      <c r="AD179" s="2"/>
      <c r="AE179" s="2"/>
      <c r="AF179" s="2"/>
      <c r="AG179" s="2"/>
      <c r="AH179" s="2" t="s">
        <v>7639</v>
      </c>
      <c r="AI179" s="2" t="s">
        <v>7638</v>
      </c>
      <c r="AJ179" s="2"/>
      <c r="AK179" s="2"/>
      <c r="AL179" s="2" t="s">
        <v>7833</v>
      </c>
      <c r="AM179" s="16" t="s">
        <v>7897</v>
      </c>
      <c r="AN179" s="2"/>
      <c r="AO179" s="2" t="s">
        <v>8280</v>
      </c>
      <c r="AP179" s="2" t="s">
        <v>7215</v>
      </c>
      <c r="AQ179" s="2" t="s">
        <v>7640</v>
      </c>
      <c r="AR179" s="19" t="s">
        <v>8259</v>
      </c>
      <c r="AS179" s="2" t="s">
        <v>7967</v>
      </c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3:58" ht="17.25" customHeight="1">
      <c r="C180" s="1">
        <v>44030</v>
      </c>
      <c r="E180" s="2" t="s">
        <v>7402</v>
      </c>
      <c r="F180" s="15"/>
      <c r="G180" s="2" t="s">
        <v>7633</v>
      </c>
      <c r="H180" s="2" t="s">
        <v>7632</v>
      </c>
      <c r="I180" s="2"/>
      <c r="J180" s="2">
        <v>1</v>
      </c>
      <c r="K180" s="2"/>
      <c r="L180" s="3">
        <v>57.5</v>
      </c>
      <c r="M180" s="3">
        <v>5.75</v>
      </c>
      <c r="N180" s="3">
        <v>2.99</v>
      </c>
      <c r="O180" s="3">
        <v>3.65</v>
      </c>
      <c r="P180" s="3">
        <f>3.65-3.65</f>
        <v>0</v>
      </c>
      <c r="Q180" s="6">
        <f t="shared" ref="Q180" si="390">+L180-M180-N180+P180</f>
        <v>48.76</v>
      </c>
      <c r="R180" s="3"/>
      <c r="S180" s="3">
        <v>39.99</v>
      </c>
      <c r="T180" s="3">
        <v>2.54</v>
      </c>
      <c r="U180" s="3"/>
      <c r="V180" s="3"/>
      <c r="W180" s="3">
        <v>2.5</v>
      </c>
      <c r="X180" s="2">
        <f t="shared" ref="X180" si="391">+S180+T180++U180+V180-W180</f>
        <v>40.03</v>
      </c>
      <c r="Y180" s="6">
        <f t="shared" ref="Y180" si="392">+Q180-X180</f>
        <v>8.7299999999999969</v>
      </c>
      <c r="Z180" s="2"/>
      <c r="AA180" s="2"/>
      <c r="AB180" s="2"/>
      <c r="AC180" s="3"/>
      <c r="AD180" s="2"/>
      <c r="AE180" s="2"/>
      <c r="AF180" s="2"/>
      <c r="AG180" s="2"/>
      <c r="AH180" s="2" t="s">
        <v>7635</v>
      </c>
      <c r="AI180" s="2" t="s">
        <v>7634</v>
      </c>
      <c r="AJ180" s="2"/>
      <c r="AK180" s="2"/>
      <c r="AL180" s="2" t="s">
        <v>7826</v>
      </c>
      <c r="AM180" s="2" t="s">
        <v>8013</v>
      </c>
      <c r="AN180" s="2"/>
      <c r="AO180" s="2" t="s">
        <v>7880</v>
      </c>
      <c r="AP180" s="2" t="s">
        <v>6929</v>
      </c>
      <c r="AQ180" s="2" t="s">
        <v>7407</v>
      </c>
      <c r="AR180" s="16" t="s">
        <v>8014</v>
      </c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3:58" ht="17.25" customHeight="1">
      <c r="C181" s="1">
        <v>44030</v>
      </c>
      <c r="E181" s="2" t="s">
        <v>7611</v>
      </c>
      <c r="F181" s="15"/>
      <c r="G181" s="2" t="s">
        <v>7628</v>
      </c>
      <c r="H181" s="2" t="s">
        <v>7627</v>
      </c>
      <c r="I181" s="2"/>
      <c r="J181" s="2">
        <v>1</v>
      </c>
      <c r="K181" s="2"/>
      <c r="L181" s="3">
        <v>27.5</v>
      </c>
      <c r="M181" s="3">
        <v>2.75</v>
      </c>
      <c r="N181" s="3">
        <v>1.63</v>
      </c>
      <c r="O181" s="3">
        <v>2.82</v>
      </c>
      <c r="P181" s="3">
        <f>2.82-2.82</f>
        <v>0</v>
      </c>
      <c r="Q181" s="6">
        <f t="shared" ref="Q181:Q182" si="393">+L181-M181-N181+P181</f>
        <v>23.12</v>
      </c>
      <c r="R181" s="3"/>
      <c r="S181" s="3">
        <v>17.59</v>
      </c>
      <c r="T181" s="3">
        <v>1.36</v>
      </c>
      <c r="U181" s="3"/>
      <c r="V181" s="3"/>
      <c r="W181" s="3">
        <v>0</v>
      </c>
      <c r="X181" s="3">
        <f t="shared" ref="X181" si="394">+S181+T181++U181+V181-W181</f>
        <v>18.95</v>
      </c>
      <c r="Y181" s="6">
        <f t="shared" ref="Y181" si="395">+Q181-X181</f>
        <v>4.1700000000000017</v>
      </c>
      <c r="Z181" s="2"/>
      <c r="AA181" s="2"/>
      <c r="AB181" s="2"/>
      <c r="AC181" s="3"/>
      <c r="AD181" s="2"/>
      <c r="AE181" s="2"/>
      <c r="AF181" s="2"/>
      <c r="AG181" s="2"/>
      <c r="AH181" s="2" t="s">
        <v>7630</v>
      </c>
      <c r="AI181" s="2" t="s">
        <v>7629</v>
      </c>
      <c r="AJ181" s="2"/>
      <c r="AK181" s="2"/>
      <c r="AL181" s="2" t="s">
        <v>7826</v>
      </c>
      <c r="AM181" s="2" t="s">
        <v>8023</v>
      </c>
      <c r="AN181" s="2"/>
      <c r="AO181" s="2" t="s">
        <v>7898</v>
      </c>
      <c r="AP181" s="2" t="s">
        <v>7899</v>
      </c>
      <c r="AQ181" s="2" t="s">
        <v>7631</v>
      </c>
      <c r="AR181" s="16" t="s">
        <v>8125</v>
      </c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3:58" ht="17.25" customHeight="1">
      <c r="C182" s="1">
        <v>44030</v>
      </c>
      <c r="E182" s="2" t="s">
        <v>7596</v>
      </c>
      <c r="F182" s="15"/>
      <c r="G182" s="2" t="s">
        <v>7624</v>
      </c>
      <c r="H182" s="2" t="s">
        <v>7623</v>
      </c>
      <c r="I182" s="2"/>
      <c r="J182" s="2">
        <v>1</v>
      </c>
      <c r="K182" s="2"/>
      <c r="L182" s="3">
        <v>17.5</v>
      </c>
      <c r="M182" s="3">
        <v>1.75</v>
      </c>
      <c r="N182" s="3">
        <v>1.1200000000000001</v>
      </c>
      <c r="O182" s="3">
        <v>1.0900000000000001</v>
      </c>
      <c r="P182" s="3">
        <f>1.09-1.09</f>
        <v>0</v>
      </c>
      <c r="Q182" s="6">
        <f t="shared" si="393"/>
        <v>14.629999999999999</v>
      </c>
      <c r="R182" s="3"/>
      <c r="S182" s="3">
        <v>9.44</v>
      </c>
      <c r="T182" s="3">
        <v>0.59</v>
      </c>
      <c r="U182" s="3"/>
      <c r="V182" s="3"/>
      <c r="W182" s="3">
        <v>0.5</v>
      </c>
      <c r="X182" s="3">
        <f t="shared" ref="X182" si="396">+S182+T182++U182+V182-W182</f>
        <v>9.5299999999999994</v>
      </c>
      <c r="Y182" s="6">
        <f t="shared" ref="Y182" si="397">+Q182-X182</f>
        <v>5.0999999999999996</v>
      </c>
      <c r="Z182" s="2"/>
      <c r="AA182" s="2"/>
      <c r="AB182" s="2"/>
      <c r="AC182" s="3"/>
      <c r="AD182" s="2"/>
      <c r="AE182" s="2"/>
      <c r="AF182" s="2"/>
      <c r="AG182" s="2"/>
      <c r="AH182" s="2" t="s">
        <v>7626</v>
      </c>
      <c r="AI182" s="2" t="s">
        <v>7625</v>
      </c>
      <c r="AJ182" s="2"/>
      <c r="AK182" s="2"/>
      <c r="AL182" s="2" t="s">
        <v>745</v>
      </c>
      <c r="AM182" s="2" t="s">
        <v>7830</v>
      </c>
      <c r="AN182" s="2"/>
      <c r="AO182" s="2" t="s">
        <v>7727</v>
      </c>
      <c r="AP182" s="2" t="s">
        <v>6929</v>
      </c>
      <c r="AQ182" s="2" t="s">
        <v>7622</v>
      </c>
      <c r="AR182" s="16" t="s">
        <v>7725</v>
      </c>
      <c r="AS182" s="2" t="s">
        <v>7988</v>
      </c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3:58" ht="17.25" customHeight="1">
      <c r="C183" s="1">
        <v>44030</v>
      </c>
      <c r="E183" s="2" t="s">
        <v>7596</v>
      </c>
      <c r="F183" s="15"/>
      <c r="G183" s="2" t="s">
        <v>7619</v>
      </c>
      <c r="H183" s="2" t="s">
        <v>7618</v>
      </c>
      <c r="I183" s="2"/>
      <c r="J183" s="2">
        <v>1</v>
      </c>
      <c r="K183" s="2"/>
      <c r="L183" s="3">
        <v>17.5</v>
      </c>
      <c r="M183" s="3">
        <v>1.75</v>
      </c>
      <c r="N183" s="3">
        <v>1.1200000000000001</v>
      </c>
      <c r="O183" s="3">
        <v>1.23</v>
      </c>
      <c r="P183" s="3">
        <f>1.23-1.23</f>
        <v>0</v>
      </c>
      <c r="Q183" s="6">
        <f t="shared" ref="Q183" si="398">+L183-M183-N183+P183</f>
        <v>14.629999999999999</v>
      </c>
      <c r="R183" s="3"/>
      <c r="S183" s="3">
        <v>9.44</v>
      </c>
      <c r="T183" s="3">
        <v>0.66</v>
      </c>
      <c r="U183" s="3"/>
      <c r="V183" s="3"/>
      <c r="W183" s="3">
        <v>0.5</v>
      </c>
      <c r="X183" s="3">
        <f t="shared" ref="X183" si="399">+S183+T183++U183+V183-W183</f>
        <v>9.6</v>
      </c>
      <c r="Y183" s="6">
        <f t="shared" ref="Y183" si="400">+Q183-X183</f>
        <v>5.0299999999999994</v>
      </c>
      <c r="Z183" s="2"/>
      <c r="AA183" s="2"/>
      <c r="AB183" s="2"/>
      <c r="AC183" s="3"/>
      <c r="AD183" s="2"/>
      <c r="AE183" s="2"/>
      <c r="AF183" s="2"/>
      <c r="AG183" s="2"/>
      <c r="AH183" s="2" t="s">
        <v>7621</v>
      </c>
      <c r="AI183" s="2" t="s">
        <v>7620</v>
      </c>
      <c r="AJ183" s="2"/>
      <c r="AK183" s="2"/>
      <c r="AL183" s="2" t="s">
        <v>745</v>
      </c>
      <c r="AM183" s="2" t="s">
        <v>7831</v>
      </c>
      <c r="AN183" s="2"/>
      <c r="AO183" s="2" t="s">
        <v>7726</v>
      </c>
      <c r="AP183" s="2" t="s">
        <v>6929</v>
      </c>
      <c r="AQ183" s="2" t="s">
        <v>7622</v>
      </c>
      <c r="AR183" s="16" t="s">
        <v>7725</v>
      </c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3:58" ht="17.25" customHeight="1">
      <c r="C184" s="1">
        <v>44030</v>
      </c>
      <c r="E184" s="2" t="s">
        <v>7594</v>
      </c>
      <c r="F184" s="15"/>
      <c r="G184" s="2" t="s">
        <v>7615</v>
      </c>
      <c r="H184" s="2" t="s">
        <v>7614</v>
      </c>
      <c r="I184" s="2"/>
      <c r="J184" s="2">
        <v>1</v>
      </c>
      <c r="K184" s="2"/>
      <c r="L184" s="3">
        <v>52.5</v>
      </c>
      <c r="M184" s="3">
        <v>5.25</v>
      </c>
      <c r="N184" s="3">
        <v>2.81</v>
      </c>
      <c r="O184" s="3">
        <v>4.59</v>
      </c>
      <c r="P184" s="3">
        <f>4.59-4.59</f>
        <v>0</v>
      </c>
      <c r="Q184" s="6">
        <f t="shared" ref="Q184" si="401">+L184-M184-N184+P184</f>
        <v>44.44</v>
      </c>
      <c r="R184" s="3"/>
      <c r="S184" s="3">
        <v>29.99</v>
      </c>
      <c r="T184" s="3">
        <v>3.06</v>
      </c>
      <c r="U184" s="3">
        <v>5</v>
      </c>
      <c r="V184" s="3"/>
      <c r="W184" s="3"/>
      <c r="X184" s="2">
        <f t="shared" ref="X184" si="402">+S184+T184++U184+V184-W184</f>
        <v>38.049999999999997</v>
      </c>
      <c r="Y184" s="6">
        <f t="shared" ref="Y184" si="403">+Q184-X184</f>
        <v>6.3900000000000006</v>
      </c>
      <c r="Z184" s="2"/>
      <c r="AA184" s="2"/>
      <c r="AB184" s="2"/>
      <c r="AC184" s="3"/>
      <c r="AD184" s="2"/>
      <c r="AE184" s="2"/>
      <c r="AF184" s="2"/>
      <c r="AG184" s="2"/>
      <c r="AH184" s="2" t="s">
        <v>7617</v>
      </c>
      <c r="AI184" s="2" t="s">
        <v>7616</v>
      </c>
      <c r="AJ184" s="2"/>
      <c r="AK184" s="2"/>
      <c r="AL184" s="2" t="s">
        <v>7607</v>
      </c>
      <c r="AM184" s="2" t="s">
        <v>7781</v>
      </c>
      <c r="AN184" s="2"/>
      <c r="AO184" s="2" t="s">
        <v>7728</v>
      </c>
      <c r="AP184" s="2" t="s">
        <v>2210</v>
      </c>
      <c r="AQ184" s="2" t="s">
        <v>5707</v>
      </c>
      <c r="AR184" s="16" t="s">
        <v>7669</v>
      </c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3:58" ht="17.25" customHeight="1">
      <c r="C185" s="1">
        <v>44030</v>
      </c>
      <c r="E185" s="2" t="s">
        <v>7586</v>
      </c>
      <c r="F185" s="15"/>
      <c r="G185" s="2" t="s">
        <v>7587</v>
      </c>
      <c r="H185" s="2" t="s">
        <v>7585</v>
      </c>
      <c r="I185" s="2"/>
      <c r="J185" s="2">
        <v>1</v>
      </c>
      <c r="K185" s="2"/>
      <c r="L185" s="3">
        <v>57.5</v>
      </c>
      <c r="M185" s="3">
        <v>5.75</v>
      </c>
      <c r="N185" s="3">
        <v>3.05</v>
      </c>
      <c r="O185" s="3">
        <v>4.96</v>
      </c>
      <c r="P185" s="3">
        <f>4.96-4.96</f>
        <v>0</v>
      </c>
      <c r="Q185" s="6">
        <f t="shared" ref="Q185" si="404">+L185-M185-N185+P185</f>
        <v>48.7</v>
      </c>
      <c r="R185" s="3"/>
      <c r="S185" s="3">
        <v>39.79</v>
      </c>
      <c r="T185" s="3">
        <v>3.43</v>
      </c>
      <c r="U185" s="3">
        <v>0</v>
      </c>
      <c r="V185" s="3"/>
      <c r="W185" s="3">
        <v>0</v>
      </c>
      <c r="X185" s="2">
        <f t="shared" ref="X185" si="405">+S185+T185++U185+V185-W185</f>
        <v>43.22</v>
      </c>
      <c r="Y185" s="6">
        <f t="shared" ref="Y185" si="406">+Q185-X185</f>
        <v>5.480000000000004</v>
      </c>
      <c r="Z185" s="6">
        <f>SUM(Y175:Y185)</f>
        <v>124.88999999999997</v>
      </c>
      <c r="AA185" s="34">
        <f>SUM(J175:J185)</f>
        <v>11</v>
      </c>
      <c r="AB185" s="2"/>
      <c r="AC185" s="3"/>
      <c r="AD185" s="2"/>
      <c r="AE185" s="2"/>
      <c r="AF185" s="2"/>
      <c r="AG185" s="2"/>
      <c r="AH185" s="2" t="s">
        <v>7589</v>
      </c>
      <c r="AI185" s="2" t="s">
        <v>7588</v>
      </c>
      <c r="AJ185" s="2"/>
      <c r="AK185" s="2"/>
      <c r="AL185" s="2" t="s">
        <v>745</v>
      </c>
      <c r="AM185" s="2" t="s">
        <v>8015</v>
      </c>
      <c r="AN185" s="2"/>
      <c r="AO185" s="10" t="s">
        <v>7591</v>
      </c>
      <c r="AP185" s="2" t="s">
        <v>7561</v>
      </c>
      <c r="AQ185" s="2" t="s">
        <v>7590</v>
      </c>
      <c r="AR185" s="16" t="s">
        <v>7593</v>
      </c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3:58" ht="17.25" customHeight="1">
      <c r="C186" s="1">
        <v>44029</v>
      </c>
      <c r="E186" s="2" t="s">
        <v>7308</v>
      </c>
      <c r="F186" s="15"/>
      <c r="G186" s="2" t="s">
        <v>7576</v>
      </c>
      <c r="H186" s="2" t="s">
        <v>7575</v>
      </c>
      <c r="I186" s="2"/>
      <c r="J186" s="2">
        <v>1</v>
      </c>
      <c r="K186" s="2"/>
      <c r="L186" s="3">
        <v>23.15</v>
      </c>
      <c r="M186" s="3">
        <v>2.31</v>
      </c>
      <c r="N186" s="3">
        <v>1.19</v>
      </c>
      <c r="O186" s="3">
        <v>1.02</v>
      </c>
      <c r="P186" s="3">
        <f>1.02-1.02</f>
        <v>0</v>
      </c>
      <c r="Q186" s="6">
        <f t="shared" ref="Q186" si="407">+L186-M186-N186+P186</f>
        <v>19.649999999999999</v>
      </c>
      <c r="R186" s="3"/>
      <c r="S186" s="3">
        <v>12.96</v>
      </c>
      <c r="T186" s="3">
        <v>0.57999999999999996</v>
      </c>
      <c r="U186" s="3"/>
      <c r="V186" s="3"/>
      <c r="W186" s="3">
        <v>0.65</v>
      </c>
      <c r="X186" s="3">
        <f t="shared" ref="X186" si="408">+S186+T186++U186+V186-W186</f>
        <v>12.89</v>
      </c>
      <c r="Y186" s="6">
        <f t="shared" ref="Y186" si="409">+Q186-X186</f>
        <v>6.759999999999998</v>
      </c>
      <c r="Z186" s="2"/>
      <c r="AA186" s="2"/>
      <c r="AB186" s="2"/>
      <c r="AC186" s="3"/>
      <c r="AD186" s="2"/>
      <c r="AE186" s="2"/>
      <c r="AF186" s="2"/>
      <c r="AG186" s="2"/>
      <c r="AH186" s="2" t="s">
        <v>7578</v>
      </c>
      <c r="AI186" s="2" t="s">
        <v>7577</v>
      </c>
      <c r="AJ186" s="2"/>
      <c r="AK186" s="2"/>
      <c r="AL186" s="2" t="s">
        <v>745</v>
      </c>
      <c r="AM186" s="2" t="s">
        <v>8016</v>
      </c>
      <c r="AN186" s="2"/>
      <c r="AO186" s="2" t="s">
        <v>7887</v>
      </c>
      <c r="AP186" s="2" t="s">
        <v>6929</v>
      </c>
      <c r="AQ186" s="48" t="s">
        <v>7580</v>
      </c>
      <c r="AR186" s="16" t="s">
        <v>7888</v>
      </c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3:58" ht="17.25" customHeight="1">
      <c r="C187" s="1">
        <v>44029</v>
      </c>
      <c r="E187" s="2" t="s">
        <v>7284</v>
      </c>
      <c r="F187" s="15"/>
      <c r="G187" s="2" t="s">
        <v>7576</v>
      </c>
      <c r="H187" s="2" t="s">
        <v>7575</v>
      </c>
      <c r="I187" s="2"/>
      <c r="J187" s="2">
        <v>1</v>
      </c>
      <c r="K187" s="2"/>
      <c r="L187" s="3">
        <v>34.85</v>
      </c>
      <c r="M187" s="3">
        <v>3.48</v>
      </c>
      <c r="N187" s="3">
        <v>1.78</v>
      </c>
      <c r="O187" s="3">
        <v>1.59</v>
      </c>
      <c r="P187" s="3">
        <f>1.59-1.59</f>
        <v>0</v>
      </c>
      <c r="Q187" s="6">
        <f t="shared" ref="Q187" si="410">+L187-M187-N187+P187</f>
        <v>29.59</v>
      </c>
      <c r="R187" s="3"/>
      <c r="S187" s="3">
        <v>18.98</v>
      </c>
      <c r="T187" s="3">
        <v>0.85</v>
      </c>
      <c r="U187" s="3"/>
      <c r="V187" s="3"/>
      <c r="W187" s="3">
        <v>0.94</v>
      </c>
      <c r="X187" s="2">
        <f t="shared" ref="X187" si="411">+S187+T187++U187+V187-W187</f>
        <v>18.89</v>
      </c>
      <c r="Y187" s="6">
        <f t="shared" ref="Y187" si="412">+Q187-X187</f>
        <v>10.7</v>
      </c>
      <c r="Z187" s="2"/>
      <c r="AA187" s="2"/>
      <c r="AB187" s="2"/>
      <c r="AC187" s="3"/>
      <c r="AD187" s="2"/>
      <c r="AE187" s="2"/>
      <c r="AF187" s="2"/>
      <c r="AG187" s="2"/>
      <c r="AH187" s="2" t="s">
        <v>7578</v>
      </c>
      <c r="AI187" s="2" t="s">
        <v>7577</v>
      </c>
      <c r="AJ187" s="2"/>
      <c r="AK187" s="2"/>
      <c r="AL187" s="2" t="s">
        <v>745</v>
      </c>
      <c r="AM187" s="2" t="s">
        <v>8016</v>
      </c>
      <c r="AN187" s="2"/>
      <c r="AO187" s="2" t="s">
        <v>7887</v>
      </c>
      <c r="AP187" s="2" t="s">
        <v>6929</v>
      </c>
      <c r="AQ187" s="48" t="s">
        <v>6600</v>
      </c>
      <c r="AR187" s="16" t="s">
        <v>7888</v>
      </c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3:58" ht="17.25" customHeight="1">
      <c r="C188" s="1">
        <v>44029</v>
      </c>
      <c r="E188" s="2" t="s">
        <v>7571</v>
      </c>
      <c r="F188" s="15"/>
      <c r="G188" s="2" t="s">
        <v>7712</v>
      </c>
      <c r="H188" s="2" t="s">
        <v>7711</v>
      </c>
      <c r="I188" s="2"/>
      <c r="J188" s="2">
        <v>1</v>
      </c>
      <c r="K188" s="2"/>
      <c r="L188" s="3">
        <v>33.5</v>
      </c>
      <c r="M188" s="3">
        <v>3.35</v>
      </c>
      <c r="N188" s="3">
        <v>1.87</v>
      </c>
      <c r="O188" s="3">
        <v>2.2599999999999998</v>
      </c>
      <c r="P188" s="3">
        <f>2.26-2.26</f>
        <v>0</v>
      </c>
      <c r="Q188" s="6">
        <f t="shared" ref="Q188" si="413">+L188-M188-N188+P188</f>
        <v>28.279999999999998</v>
      </c>
      <c r="R188" s="3"/>
      <c r="S188" s="3">
        <v>21.99</v>
      </c>
      <c r="T188" s="3">
        <v>1.48</v>
      </c>
      <c r="U188" s="3"/>
      <c r="V188" s="3"/>
      <c r="W188" s="3">
        <v>1.1000000000000001</v>
      </c>
      <c r="X188" s="3">
        <f t="shared" ref="X188" si="414">+S188+T188++U188+V188-W188</f>
        <v>22.369999999999997</v>
      </c>
      <c r="Y188" s="6">
        <f t="shared" ref="Y188" si="415">+Q188-X188</f>
        <v>5.91</v>
      </c>
      <c r="Z188" s="2"/>
      <c r="AA188" s="2"/>
      <c r="AB188" s="2"/>
      <c r="AC188" s="3"/>
      <c r="AD188" s="2"/>
      <c r="AE188" s="2"/>
      <c r="AF188" s="2"/>
      <c r="AG188" s="2"/>
      <c r="AH188" s="2" t="s">
        <v>7573</v>
      </c>
      <c r="AI188" s="2" t="s">
        <v>7572</v>
      </c>
      <c r="AJ188" s="2"/>
      <c r="AK188" s="2"/>
      <c r="AL188" s="2" t="s">
        <v>7826</v>
      </c>
      <c r="AM188" s="2" t="s">
        <v>8018</v>
      </c>
      <c r="AN188" s="2"/>
      <c r="AO188" s="2" t="s">
        <v>7885</v>
      </c>
      <c r="AP188" s="2" t="s">
        <v>6929</v>
      </c>
      <c r="AQ188" s="2" t="s">
        <v>7574</v>
      </c>
      <c r="AR188" s="16" t="s">
        <v>8126</v>
      </c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3:58" ht="17.25" customHeight="1">
      <c r="C189" s="1">
        <v>44029</v>
      </c>
      <c r="E189" s="2" t="s">
        <v>6785</v>
      </c>
      <c r="F189" s="15"/>
      <c r="G189" s="2" t="s">
        <v>7567</v>
      </c>
      <c r="H189" s="2" t="s">
        <v>7566</v>
      </c>
      <c r="I189" s="2"/>
      <c r="J189" s="2">
        <v>1</v>
      </c>
      <c r="K189" s="2"/>
      <c r="L189" s="3">
        <v>35.700000000000003</v>
      </c>
      <c r="M189" s="3">
        <v>3.57</v>
      </c>
      <c r="N189" s="3">
        <v>2.0099999999999998</v>
      </c>
      <c r="O189" s="3">
        <v>0</v>
      </c>
      <c r="P189" s="3">
        <v>3.21</v>
      </c>
      <c r="Q189" s="6">
        <f t="shared" ref="Q189" si="416">+L189-M189-N189+P189</f>
        <v>33.330000000000005</v>
      </c>
      <c r="R189" s="3"/>
      <c r="S189" s="3">
        <v>16.989999999999998</v>
      </c>
      <c r="T189" s="3">
        <v>0.72</v>
      </c>
      <c r="U189" s="3">
        <v>5</v>
      </c>
      <c r="V189" s="3"/>
      <c r="W189" s="3">
        <v>0</v>
      </c>
      <c r="X189" s="2">
        <f t="shared" ref="X189" si="417">+S189+T189++U189+V189-W189</f>
        <v>22.709999999999997</v>
      </c>
      <c r="Y189" s="6">
        <f t="shared" ref="Y189" si="418">+Q189-X189</f>
        <v>10.620000000000008</v>
      </c>
      <c r="Z189" s="2"/>
      <c r="AA189" s="2"/>
      <c r="AB189" s="2"/>
      <c r="AC189" s="3"/>
      <c r="AD189" s="2"/>
      <c r="AE189" s="2"/>
      <c r="AF189" s="2"/>
      <c r="AG189" s="2"/>
      <c r="AH189" s="2" t="s">
        <v>7569</v>
      </c>
      <c r="AI189" s="2" t="s">
        <v>7568</v>
      </c>
      <c r="AJ189" s="2"/>
      <c r="AK189" s="2"/>
      <c r="AL189" s="2" t="s">
        <v>7607</v>
      </c>
      <c r="AM189" s="2" t="s">
        <v>7783</v>
      </c>
      <c r="AN189" s="2"/>
      <c r="AO189" s="2" t="s">
        <v>7692</v>
      </c>
      <c r="AP189" s="2" t="s">
        <v>2210</v>
      </c>
      <c r="AQ189" s="2" t="s">
        <v>7570</v>
      </c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3:58" ht="17.25" customHeight="1">
      <c r="C190" s="1">
        <v>44029</v>
      </c>
      <c r="E190" s="2" t="s">
        <v>7555</v>
      </c>
      <c r="F190" s="15"/>
      <c r="G190" s="2" t="s">
        <v>7557</v>
      </c>
      <c r="H190" s="2" t="s">
        <v>7556</v>
      </c>
      <c r="I190" s="2"/>
      <c r="J190" s="2">
        <v>1</v>
      </c>
      <c r="K190" s="2"/>
      <c r="L190" s="3">
        <v>61.5</v>
      </c>
      <c r="M190" s="3">
        <v>6.15</v>
      </c>
      <c r="N190" s="3">
        <v>3.17</v>
      </c>
      <c r="O190" s="3">
        <v>3.84</v>
      </c>
      <c r="P190" s="3">
        <f>3.84-3.84</f>
        <v>0</v>
      </c>
      <c r="Q190" s="6">
        <f t="shared" ref="Q190" si="419">+L190-M190-N190+P190</f>
        <v>52.18</v>
      </c>
      <c r="R190" s="3"/>
      <c r="S190" s="3">
        <v>42.09</v>
      </c>
      <c r="T190" s="3">
        <v>2.63</v>
      </c>
      <c r="U190" s="3"/>
      <c r="V190" s="3"/>
      <c r="W190" s="3"/>
      <c r="X190" s="2">
        <f t="shared" ref="X190" si="420">+S190+T190++U190+V190-W190</f>
        <v>44.720000000000006</v>
      </c>
      <c r="Y190" s="6">
        <f t="shared" ref="Y190" si="421">+Q190-X190</f>
        <v>7.4599999999999937</v>
      </c>
      <c r="Z190" s="2"/>
      <c r="AA190" s="2"/>
      <c r="AB190" s="2"/>
      <c r="AC190" s="3"/>
      <c r="AD190" s="2"/>
      <c r="AE190" s="2"/>
      <c r="AF190" s="2"/>
      <c r="AG190" s="2"/>
      <c r="AH190" s="2" t="s">
        <v>7559</v>
      </c>
      <c r="AI190" s="2" t="s">
        <v>7558</v>
      </c>
      <c r="AJ190" s="2"/>
      <c r="AK190" s="2"/>
      <c r="AL190" s="2" t="s">
        <v>2926</v>
      </c>
      <c r="AM190" s="16" t="s">
        <v>7884</v>
      </c>
      <c r="AN190" s="2"/>
      <c r="AO190" s="2" t="s">
        <v>7882</v>
      </c>
      <c r="AP190" s="2" t="s">
        <v>7561</v>
      </c>
      <c r="AQ190" s="2" t="s">
        <v>7560</v>
      </c>
      <c r="AR190" s="16" t="s">
        <v>7883</v>
      </c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spans="3:58" ht="17.25" customHeight="1">
      <c r="C191" s="1">
        <v>44029</v>
      </c>
      <c r="E191" s="2" t="s">
        <v>7540</v>
      </c>
      <c r="F191" s="15"/>
      <c r="G191" s="2" t="s">
        <v>7563</v>
      </c>
      <c r="H191" s="2" t="s">
        <v>7562</v>
      </c>
      <c r="I191" s="2"/>
      <c r="J191" s="2">
        <v>1</v>
      </c>
      <c r="K191" s="2"/>
      <c r="L191" s="3">
        <v>72.5</v>
      </c>
      <c r="M191" s="3">
        <v>7.25</v>
      </c>
      <c r="N191" s="3">
        <v>3.71</v>
      </c>
      <c r="O191" s="3">
        <v>5.08</v>
      </c>
      <c r="P191" s="3">
        <f>5.08-5.08</f>
        <v>0</v>
      </c>
      <c r="Q191" s="6">
        <f t="shared" ref="Q191" si="422">+L191-M191-N191+P191</f>
        <v>61.54</v>
      </c>
      <c r="R191" s="3"/>
      <c r="S191" s="3">
        <v>45.99</v>
      </c>
      <c r="T191" s="3"/>
      <c r="U191" s="3">
        <v>4.99</v>
      </c>
      <c r="V191" s="3"/>
      <c r="W191" s="3">
        <v>4.59</v>
      </c>
      <c r="X191" s="2">
        <f t="shared" ref="X191" si="423">+S191+T191++U191+V191-W191</f>
        <v>46.39</v>
      </c>
      <c r="Y191" s="6">
        <f t="shared" ref="Y191" si="424">+Q191-X191</f>
        <v>15.149999999999999</v>
      </c>
      <c r="Z191" s="2"/>
      <c r="AA191" s="2"/>
      <c r="AB191" s="2"/>
      <c r="AC191" s="3"/>
      <c r="AD191" s="2"/>
      <c r="AE191" s="2"/>
      <c r="AF191" s="2"/>
      <c r="AG191" s="2"/>
      <c r="AH191" s="2" t="s">
        <v>7565</v>
      </c>
      <c r="AI191" s="2" t="s">
        <v>7564</v>
      </c>
      <c r="AJ191" s="2"/>
      <c r="AK191" s="2"/>
      <c r="AL191" s="2" t="s">
        <v>2926</v>
      </c>
      <c r="AM191" s="16" t="s">
        <v>7905</v>
      </c>
      <c r="AN191" s="2"/>
      <c r="AO191" s="2" t="s">
        <v>7777</v>
      </c>
      <c r="AP191" s="2" t="s">
        <v>7545</v>
      </c>
      <c r="AQ191" s="2" t="s">
        <v>6962</v>
      </c>
      <c r="AR191" s="16" t="s">
        <v>7881</v>
      </c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spans="3:58" ht="17.25" customHeight="1">
      <c r="C192" s="1">
        <v>44029</v>
      </c>
      <c r="E192" s="2" t="s">
        <v>7540</v>
      </c>
      <c r="F192" s="15"/>
      <c r="G192" s="2" t="s">
        <v>7542</v>
      </c>
      <c r="H192" s="2" t="s">
        <v>7541</v>
      </c>
      <c r="I192" s="2"/>
      <c r="J192" s="2">
        <v>1</v>
      </c>
      <c r="K192" s="2"/>
      <c r="L192" s="3">
        <v>72.5</v>
      </c>
      <c r="M192" s="3">
        <v>7.25</v>
      </c>
      <c r="N192" s="3">
        <v>3.76</v>
      </c>
      <c r="O192" s="3">
        <v>6.07</v>
      </c>
      <c r="P192" s="3">
        <f>6.07-6.07</f>
        <v>0</v>
      </c>
      <c r="Q192" s="6">
        <f t="shared" ref="Q192" si="425">+L192-M192-N192+P192</f>
        <v>61.49</v>
      </c>
      <c r="R192" s="3"/>
      <c r="S192" s="3">
        <v>45.99</v>
      </c>
      <c r="T192" s="3"/>
      <c r="U192" s="3">
        <v>4.99</v>
      </c>
      <c r="V192" s="3"/>
      <c r="W192" s="3">
        <v>4.59</v>
      </c>
      <c r="X192" s="2">
        <f t="shared" ref="X192" si="426">+S192+T192++U192+V192-W192</f>
        <v>46.39</v>
      </c>
      <c r="Y192" s="6">
        <f t="shared" ref="Y192" si="427">+Q192-X192</f>
        <v>15.100000000000001</v>
      </c>
      <c r="Z192" s="2"/>
      <c r="AA192" s="2"/>
      <c r="AB192" s="2"/>
      <c r="AC192" s="3"/>
      <c r="AD192" s="2"/>
      <c r="AE192" s="2"/>
      <c r="AF192" s="2"/>
      <c r="AG192" s="2"/>
      <c r="AH192" s="2" t="s">
        <v>7544</v>
      </c>
      <c r="AI192" s="2" t="s">
        <v>7543</v>
      </c>
      <c r="AJ192" s="2"/>
      <c r="AK192" s="2"/>
      <c r="AL192" s="2" t="s">
        <v>2926</v>
      </c>
      <c r="AM192" s="16" t="s">
        <v>7904</v>
      </c>
      <c r="AN192" s="2"/>
      <c r="AO192" s="2" t="s">
        <v>7776</v>
      </c>
      <c r="AP192" s="2" t="s">
        <v>7545</v>
      </c>
      <c r="AQ192" s="2" t="s">
        <v>6962</v>
      </c>
      <c r="AR192" s="16" t="s">
        <v>7883</v>
      </c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spans="2:58" ht="17.25" customHeight="1">
      <c r="C193" s="1">
        <v>44029</v>
      </c>
      <c r="E193" s="2" t="s">
        <v>7402</v>
      </c>
      <c r="F193" s="15"/>
      <c r="G193" s="2" t="s">
        <v>7528</v>
      </c>
      <c r="H193" s="2" t="s">
        <v>7527</v>
      </c>
      <c r="I193" s="2"/>
      <c r="J193" s="2">
        <v>1</v>
      </c>
      <c r="K193" s="2"/>
      <c r="L193" s="3">
        <v>57.5</v>
      </c>
      <c r="M193" s="3">
        <v>5.75</v>
      </c>
      <c r="N193" s="3">
        <v>2.99</v>
      </c>
      <c r="O193" s="3">
        <v>3.65</v>
      </c>
      <c r="P193" s="3">
        <f>3.65-3.65</f>
        <v>0</v>
      </c>
      <c r="Q193" s="6">
        <f t="shared" ref="Q193" si="428">+L193-M193-N193+P193</f>
        <v>48.76</v>
      </c>
      <c r="R193" s="3"/>
      <c r="S193" s="3">
        <v>39.99</v>
      </c>
      <c r="T193" s="3">
        <v>2.54</v>
      </c>
      <c r="U193" s="3"/>
      <c r="V193" s="3"/>
      <c r="W193" s="3"/>
      <c r="X193" s="2">
        <f t="shared" ref="X193" si="429">+S193+T193++U193+V193-W193</f>
        <v>42.53</v>
      </c>
      <c r="Y193" s="6">
        <f t="shared" ref="Y193" si="430">+Q193-X193</f>
        <v>6.2299999999999969</v>
      </c>
      <c r="Z193" s="6">
        <f>SUM(Y186:Y193)</f>
        <v>77.930000000000007</v>
      </c>
      <c r="AA193" s="34">
        <f>SUM(J186:J193)</f>
        <v>8</v>
      </c>
      <c r="AB193" s="2"/>
      <c r="AC193" s="3"/>
      <c r="AD193" s="2"/>
      <c r="AE193" s="2"/>
      <c r="AF193" s="2"/>
      <c r="AG193" s="2"/>
      <c r="AH193" s="2" t="s">
        <v>7530</v>
      </c>
      <c r="AI193" s="2" t="s">
        <v>7529</v>
      </c>
      <c r="AJ193" s="2"/>
      <c r="AK193" s="2"/>
      <c r="AL193" s="2" t="s">
        <v>2926</v>
      </c>
      <c r="AM193" s="16" t="s">
        <v>8010</v>
      </c>
      <c r="AN193" s="2"/>
      <c r="AO193" s="2" t="s">
        <v>7878</v>
      </c>
      <c r="AP193" s="2" t="s">
        <v>6929</v>
      </c>
      <c r="AQ193" s="2" t="s">
        <v>7407</v>
      </c>
      <c r="AR193" s="16" t="s">
        <v>7879</v>
      </c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spans="2:58" ht="17.25" customHeight="1">
      <c r="C194" s="1">
        <v>44028</v>
      </c>
      <c r="E194" s="2" t="s">
        <v>7267</v>
      </c>
      <c r="F194" s="15"/>
      <c r="G194" s="2" t="s">
        <v>7507</v>
      </c>
      <c r="H194" s="2" t="s">
        <v>7506</v>
      </c>
      <c r="I194" s="2"/>
      <c r="J194" s="2">
        <v>1</v>
      </c>
      <c r="K194" s="2"/>
      <c r="L194" s="3">
        <v>45.95</v>
      </c>
      <c r="M194" s="3">
        <v>4.59</v>
      </c>
      <c r="N194" s="3">
        <v>2.46</v>
      </c>
      <c r="O194" s="3">
        <v>3.04</v>
      </c>
      <c r="P194" s="3">
        <f>3.04-3.04</f>
        <v>0</v>
      </c>
      <c r="Q194" s="6">
        <f t="shared" ref="Q194:Q196" si="431">+L194-M194-N194+P194</f>
        <v>38.9</v>
      </c>
      <c r="R194" s="3"/>
      <c r="S194" s="3">
        <v>25.98</v>
      </c>
      <c r="T194" s="3">
        <v>2.0499999999999998</v>
      </c>
      <c r="U194" s="3">
        <v>5</v>
      </c>
      <c r="V194" s="3"/>
      <c r="W194" s="3"/>
      <c r="X194" s="2">
        <f t="shared" ref="X194:X196" si="432">+S194+T194++U194+V194-W194</f>
        <v>33.03</v>
      </c>
      <c r="Y194" s="6">
        <f t="shared" ref="Y194:Y196" si="433">+Q194-X194</f>
        <v>5.8699999999999974</v>
      </c>
      <c r="Z194" s="2"/>
      <c r="AA194" s="2"/>
      <c r="AB194" s="2"/>
      <c r="AC194" s="3"/>
      <c r="AD194" s="2"/>
      <c r="AE194" s="2"/>
      <c r="AF194" s="2"/>
      <c r="AG194" s="2"/>
      <c r="AH194" s="2" t="s">
        <v>7509</v>
      </c>
      <c r="AI194" s="2" t="s">
        <v>7508</v>
      </c>
      <c r="AJ194" s="2"/>
      <c r="AK194" s="2"/>
      <c r="AL194" s="2" t="s">
        <v>7607</v>
      </c>
      <c r="AM194" s="2" t="s">
        <v>7784</v>
      </c>
      <c r="AN194" s="2"/>
      <c r="AO194" s="2" t="s">
        <v>7552</v>
      </c>
      <c r="AP194" s="2" t="s">
        <v>6911</v>
      </c>
      <c r="AQ194" s="2" t="s">
        <v>7267</v>
      </c>
      <c r="AR194" s="16" t="s">
        <v>7592</v>
      </c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spans="2:58" ht="17.25" customHeight="1">
      <c r="C195" s="1">
        <v>44028</v>
      </c>
      <c r="E195" s="2" t="s">
        <v>7348</v>
      </c>
      <c r="F195" s="15"/>
      <c r="G195" s="2" t="s">
        <v>7513</v>
      </c>
      <c r="H195" s="2" t="s">
        <v>7512</v>
      </c>
      <c r="I195" s="2"/>
      <c r="J195" s="2">
        <v>1</v>
      </c>
      <c r="K195" s="2"/>
      <c r="L195" s="3">
        <v>17.5</v>
      </c>
      <c r="M195" s="3">
        <v>1.75</v>
      </c>
      <c r="N195" s="3">
        <v>1.1200000000000001</v>
      </c>
      <c r="O195" s="3">
        <v>1.23</v>
      </c>
      <c r="P195" s="3">
        <f>1.23-1.23</f>
        <v>0</v>
      </c>
      <c r="Q195" s="6">
        <f t="shared" si="431"/>
        <v>14.629999999999999</v>
      </c>
      <c r="R195" s="3"/>
      <c r="S195" s="3">
        <v>9.44</v>
      </c>
      <c r="T195" s="3">
        <v>0.66</v>
      </c>
      <c r="U195" s="3"/>
      <c r="V195" s="3"/>
      <c r="W195" s="3">
        <v>0.5</v>
      </c>
      <c r="X195" s="3">
        <f t="shared" si="432"/>
        <v>9.6</v>
      </c>
      <c r="Y195" s="6">
        <f t="shared" si="433"/>
        <v>5.0299999999999994</v>
      </c>
      <c r="Z195" s="2"/>
      <c r="AA195" s="2"/>
      <c r="AB195" s="2"/>
      <c r="AC195" s="3"/>
      <c r="AD195" s="2"/>
      <c r="AE195" s="2"/>
      <c r="AF195" s="2"/>
      <c r="AG195" s="2"/>
      <c r="AH195" s="16" t="s">
        <v>7511</v>
      </c>
      <c r="AI195" s="2" t="s">
        <v>7510</v>
      </c>
      <c r="AJ195" s="2"/>
      <c r="AK195" s="2"/>
      <c r="AL195" s="2" t="s">
        <v>7607</v>
      </c>
      <c r="AM195" s="2" t="s">
        <v>7744</v>
      </c>
      <c r="AN195" s="2"/>
      <c r="AO195" s="2" t="s">
        <v>7724</v>
      </c>
      <c r="AP195" s="2" t="s">
        <v>6929</v>
      </c>
      <c r="AQ195" s="2" t="s">
        <v>7352</v>
      </c>
      <c r="AR195" s="16" t="s">
        <v>7725</v>
      </c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spans="2:58" ht="17.25" customHeight="1">
      <c r="C196" s="1">
        <v>44028</v>
      </c>
      <c r="E196" s="2" t="s">
        <v>7208</v>
      </c>
      <c r="F196" s="15"/>
      <c r="G196" s="2" t="s">
        <v>6850</v>
      </c>
      <c r="H196" s="2" t="s">
        <v>6849</v>
      </c>
      <c r="I196" s="2"/>
      <c r="J196" s="2">
        <v>1</v>
      </c>
      <c r="K196" s="2"/>
      <c r="L196" s="3">
        <v>19.5</v>
      </c>
      <c r="M196" s="3">
        <v>1.95</v>
      </c>
      <c r="N196" s="3">
        <v>1.22</v>
      </c>
      <c r="O196" s="3">
        <v>1.52</v>
      </c>
      <c r="P196" s="3">
        <f>1.52-1.52</f>
        <v>0</v>
      </c>
      <c r="Q196" s="6">
        <f t="shared" si="431"/>
        <v>16.330000000000002</v>
      </c>
      <c r="R196" s="3"/>
      <c r="S196" s="3">
        <v>8.99</v>
      </c>
      <c r="T196" s="3">
        <v>0.7</v>
      </c>
      <c r="U196" s="3"/>
      <c r="V196" s="3"/>
      <c r="W196" s="3">
        <v>0.45</v>
      </c>
      <c r="X196" s="2">
        <f t="shared" si="432"/>
        <v>9.24</v>
      </c>
      <c r="Y196" s="6">
        <f t="shared" si="433"/>
        <v>7.0900000000000016</v>
      </c>
      <c r="Z196" s="2"/>
      <c r="AA196" s="2"/>
      <c r="AB196" s="2"/>
      <c r="AC196" s="3"/>
      <c r="AD196" s="2"/>
      <c r="AE196" s="2"/>
      <c r="AF196" s="2"/>
      <c r="AG196" s="2"/>
      <c r="AH196" s="2" t="s">
        <v>6852</v>
      </c>
      <c r="AI196" s="2" t="s">
        <v>6851</v>
      </c>
      <c r="AJ196" s="2"/>
      <c r="AK196" s="2"/>
      <c r="AL196" s="2" t="s">
        <v>2926</v>
      </c>
      <c r="AM196" s="16" t="s">
        <v>8007</v>
      </c>
      <c r="AN196" s="2"/>
      <c r="AO196" s="2" t="s">
        <v>7901</v>
      </c>
      <c r="AP196" s="2" t="s">
        <v>6929</v>
      </c>
      <c r="AQ196" s="2" t="s">
        <v>6798</v>
      </c>
      <c r="AR196" s="16" t="s">
        <v>7902</v>
      </c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spans="2:58" ht="17.25" customHeight="1">
      <c r="C197" s="1">
        <v>44028</v>
      </c>
      <c r="E197" s="2" t="s">
        <v>7348</v>
      </c>
      <c r="F197" s="15"/>
      <c r="G197" s="2" t="s">
        <v>7514</v>
      </c>
      <c r="H197" s="2" t="s">
        <v>7694</v>
      </c>
      <c r="I197" s="2"/>
      <c r="J197" s="2">
        <v>1</v>
      </c>
      <c r="K197" s="2"/>
      <c r="L197" s="3">
        <v>17.5</v>
      </c>
      <c r="M197" s="3">
        <v>1.75</v>
      </c>
      <c r="N197" s="3">
        <v>1.07</v>
      </c>
      <c r="O197" s="3">
        <v>0</v>
      </c>
      <c r="P197" s="3">
        <f>1.23-1.23</f>
        <v>0</v>
      </c>
      <c r="Q197" s="6">
        <f t="shared" ref="Q197" si="434">+L197-M197-N197+P197</f>
        <v>14.68</v>
      </c>
      <c r="R197" s="3"/>
      <c r="S197" s="3">
        <v>7.99</v>
      </c>
      <c r="T197" s="3">
        <v>0.92</v>
      </c>
      <c r="U197" s="3"/>
      <c r="V197" s="3"/>
      <c r="W197" s="3">
        <v>0.5</v>
      </c>
      <c r="X197" s="3">
        <f t="shared" ref="X197" si="435">+S197+T197++U197+V197-W197</f>
        <v>8.41</v>
      </c>
      <c r="Y197" s="6">
        <f t="shared" ref="Y197" si="436">+Q197-X197</f>
        <v>6.27</v>
      </c>
      <c r="Z197" s="2"/>
      <c r="AA197" s="2"/>
      <c r="AB197" s="2"/>
      <c r="AC197" s="3"/>
      <c r="AD197" s="2"/>
      <c r="AE197" s="2"/>
      <c r="AF197" s="2"/>
      <c r="AG197" s="2"/>
      <c r="AH197" s="2" t="s">
        <v>7516</v>
      </c>
      <c r="AI197" s="2" t="s">
        <v>7515</v>
      </c>
      <c r="AJ197" s="2"/>
      <c r="AK197" s="2"/>
      <c r="AL197" s="2" t="s">
        <v>2926</v>
      </c>
      <c r="AM197" s="16" t="s">
        <v>8631</v>
      </c>
      <c r="AN197" s="2"/>
      <c r="AO197" s="2" t="s">
        <v>7745</v>
      </c>
      <c r="AP197" s="2" t="s">
        <v>6929</v>
      </c>
      <c r="AQ197" s="2" t="s">
        <v>7352</v>
      </c>
      <c r="AR197" s="16" t="s">
        <v>7746</v>
      </c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spans="2:58" ht="17.25" customHeight="1">
      <c r="C198" s="1">
        <v>44028</v>
      </c>
      <c r="E198" s="2" t="s">
        <v>6958</v>
      </c>
      <c r="F198" s="15"/>
      <c r="G198" s="2" t="s">
        <v>7518</v>
      </c>
      <c r="H198" s="2" t="s">
        <v>7517</v>
      </c>
      <c r="I198" s="2"/>
      <c r="J198" s="2">
        <v>1</v>
      </c>
      <c r="K198" s="2"/>
      <c r="L198" s="3">
        <v>72.5</v>
      </c>
      <c r="M198" s="3">
        <v>7.25</v>
      </c>
      <c r="N198" s="3">
        <v>3.77</v>
      </c>
      <c r="O198" s="3">
        <v>6.34</v>
      </c>
      <c r="P198" s="3">
        <f>6.34-6.34</f>
        <v>0</v>
      </c>
      <c r="Q198" s="6">
        <f t="shared" ref="Q198:Q199" si="437">+L198-M198-N198+P198</f>
        <v>61.48</v>
      </c>
      <c r="R198" s="3"/>
      <c r="S198" s="3">
        <v>45.99</v>
      </c>
      <c r="T198" s="3"/>
      <c r="U198" s="3">
        <v>4.99</v>
      </c>
      <c r="V198" s="3"/>
      <c r="W198" s="3">
        <v>4.59</v>
      </c>
      <c r="X198" s="2">
        <f t="shared" ref="X198" si="438">+S198+T198++U198+V198-W198</f>
        <v>46.39</v>
      </c>
      <c r="Y198" s="6">
        <f t="shared" ref="Y198" si="439">+Q198-X198</f>
        <v>15.089999999999996</v>
      </c>
      <c r="Z198" s="2"/>
      <c r="AA198" s="2"/>
      <c r="AB198" s="2"/>
      <c r="AC198" s="3"/>
      <c r="AD198" s="2"/>
      <c r="AE198" s="2"/>
      <c r="AF198" s="2"/>
      <c r="AG198" s="2"/>
      <c r="AH198" s="2" t="s">
        <v>7520</v>
      </c>
      <c r="AI198" s="2" t="s">
        <v>7519</v>
      </c>
      <c r="AJ198" s="2"/>
      <c r="AK198" s="2"/>
      <c r="AL198" s="2" t="s">
        <v>7538</v>
      </c>
      <c r="AM198" s="16" t="s">
        <v>7689</v>
      </c>
      <c r="AN198" s="2"/>
      <c r="AO198" s="2" t="s">
        <v>7690</v>
      </c>
      <c r="AP198" s="2" t="s">
        <v>6912</v>
      </c>
      <c r="AQ198" s="2" t="s">
        <v>6962</v>
      </c>
      <c r="AR198" s="16" t="s">
        <v>8014</v>
      </c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spans="2:58" ht="17.25" customHeight="1">
      <c r="B199" s="23" t="s">
        <v>7723</v>
      </c>
      <c r="C199" s="1">
        <v>44028</v>
      </c>
      <c r="E199" s="2" t="s">
        <v>7504</v>
      </c>
      <c r="F199" s="15"/>
      <c r="G199" s="2" t="s">
        <v>7522</v>
      </c>
      <c r="H199" s="2" t="s">
        <v>7521</v>
      </c>
      <c r="I199" s="2"/>
      <c r="J199" s="2">
        <v>1</v>
      </c>
      <c r="K199" s="2"/>
      <c r="L199" s="3">
        <v>10.8</v>
      </c>
      <c r="M199" s="3">
        <v>1.08</v>
      </c>
      <c r="N199" s="3">
        <v>0.81</v>
      </c>
      <c r="O199" s="3">
        <v>0.89</v>
      </c>
      <c r="P199" s="3">
        <f>0.89-0.89</f>
        <v>0</v>
      </c>
      <c r="Q199" s="6">
        <f t="shared" si="437"/>
        <v>8.91</v>
      </c>
      <c r="R199" s="3"/>
      <c r="S199" s="3">
        <v>3.14</v>
      </c>
      <c r="T199" s="3"/>
      <c r="U199" s="3"/>
      <c r="V199" s="3"/>
      <c r="W199" s="3"/>
      <c r="X199" s="2">
        <f t="shared" ref="X199" si="440">+S199+T199++U199+V199-W199</f>
        <v>3.14</v>
      </c>
      <c r="Y199" s="6">
        <f t="shared" ref="Y199" si="441">+Q199-X199</f>
        <v>5.77</v>
      </c>
      <c r="Z199" s="2"/>
      <c r="AA199" s="2"/>
      <c r="AB199" s="2"/>
      <c r="AC199" s="3"/>
      <c r="AD199" s="2"/>
      <c r="AE199" s="2"/>
      <c r="AF199" s="2"/>
      <c r="AG199" s="2"/>
      <c r="AH199" s="2" t="s">
        <v>6852</v>
      </c>
      <c r="AI199" s="2" t="s">
        <v>6851</v>
      </c>
      <c r="AJ199" s="2"/>
      <c r="AK199" s="2"/>
      <c r="AL199" s="2" t="s">
        <v>7838</v>
      </c>
      <c r="AM199" s="16" t="s">
        <v>7837</v>
      </c>
      <c r="AN199" s="2"/>
      <c r="AO199" s="16" t="s">
        <v>7526</v>
      </c>
      <c r="AP199" s="16" t="s">
        <v>7839</v>
      </c>
      <c r="AQ199" s="2" t="s">
        <v>7504</v>
      </c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spans="2:58" ht="17.25" customHeight="1">
      <c r="C200" s="1">
        <v>44028</v>
      </c>
      <c r="E200" s="2" t="s">
        <v>7493</v>
      </c>
      <c r="F200" s="15"/>
      <c r="G200" s="2" t="s">
        <v>7499</v>
      </c>
      <c r="H200" s="2" t="s">
        <v>8252</v>
      </c>
      <c r="I200" s="2"/>
      <c r="J200" s="2">
        <v>1</v>
      </c>
      <c r="K200" s="2"/>
      <c r="L200" s="3">
        <v>17.5</v>
      </c>
      <c r="M200" s="3">
        <v>1.75</v>
      </c>
      <c r="N200" s="3">
        <v>1.1200000000000001</v>
      </c>
      <c r="O200" s="3">
        <v>1.23</v>
      </c>
      <c r="P200" s="3">
        <f>1.23-1.23</f>
        <v>0</v>
      </c>
      <c r="Q200" s="6">
        <f t="shared" ref="Q200:Q201" si="442">+L200-M200-N200+P200</f>
        <v>14.629999999999999</v>
      </c>
      <c r="R200" s="3"/>
      <c r="S200" s="3">
        <v>9.99</v>
      </c>
      <c r="T200" s="3">
        <v>0.7</v>
      </c>
      <c r="U200" s="3"/>
      <c r="V200" s="3"/>
      <c r="W200" s="3">
        <v>0.5</v>
      </c>
      <c r="X200" s="2">
        <f t="shared" ref="X200" si="443">+S200+T200++U200+V200-W200</f>
        <v>10.19</v>
      </c>
      <c r="Y200" s="6">
        <f t="shared" ref="Y200" si="444">+Q200-X200</f>
        <v>4.4399999999999995</v>
      </c>
      <c r="Z200" s="2"/>
      <c r="AA200" s="2"/>
      <c r="AB200" s="2"/>
      <c r="AC200" s="3"/>
      <c r="AD200" s="2"/>
      <c r="AE200" s="2"/>
      <c r="AF200" s="2"/>
      <c r="AG200" s="2"/>
      <c r="AH200" s="2" t="s">
        <v>7501</v>
      </c>
      <c r="AI200" s="2" t="s">
        <v>7500</v>
      </c>
      <c r="AJ200" s="2"/>
      <c r="AK200" s="2"/>
      <c r="AL200" s="2"/>
      <c r="AM200" s="2"/>
      <c r="AN200" s="2"/>
      <c r="AO200" s="2"/>
      <c r="AP200" s="5" t="s">
        <v>493</v>
      </c>
      <c r="AQ200" s="2" t="s">
        <v>7502</v>
      </c>
      <c r="AR200" s="2"/>
      <c r="AS200" s="2" t="s">
        <v>7850</v>
      </c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spans="2:58" ht="17.25" customHeight="1">
      <c r="C201" s="1">
        <v>44028</v>
      </c>
      <c r="E201" s="2" t="s">
        <v>7284</v>
      </c>
      <c r="F201" s="15"/>
      <c r="G201" s="2" t="s">
        <v>7495</v>
      </c>
      <c r="H201" s="2" t="s">
        <v>7494</v>
      </c>
      <c r="I201" s="2"/>
      <c r="J201" s="2">
        <v>1</v>
      </c>
      <c r="K201" s="2"/>
      <c r="L201" s="3">
        <v>34.85</v>
      </c>
      <c r="M201" s="3">
        <v>3.48</v>
      </c>
      <c r="N201" s="3">
        <v>1.95</v>
      </c>
      <c r="O201" s="3">
        <v>2.44</v>
      </c>
      <c r="P201" s="3">
        <f>2.44-2.44</f>
        <v>0</v>
      </c>
      <c r="Q201" s="6">
        <f t="shared" si="442"/>
        <v>29.42</v>
      </c>
      <c r="R201" s="3"/>
      <c r="S201" s="3">
        <v>19.75</v>
      </c>
      <c r="T201" s="3">
        <v>1.38</v>
      </c>
      <c r="U201" s="3"/>
      <c r="V201" s="3"/>
      <c r="W201" s="3">
        <v>0.99</v>
      </c>
      <c r="X201" s="2">
        <f t="shared" ref="X201" si="445">+S201+T201++U201+V201-W201</f>
        <v>20.14</v>
      </c>
      <c r="Y201" s="6">
        <f t="shared" ref="Y201" si="446">+Q201-X201</f>
        <v>9.2800000000000011</v>
      </c>
      <c r="Z201" s="6">
        <f>SUM(Y194:Y201)</f>
        <v>58.839999999999989</v>
      </c>
      <c r="AA201" s="34">
        <f>SUM(J194:J201)</f>
        <v>8</v>
      </c>
      <c r="AB201" s="2"/>
      <c r="AC201" s="3"/>
      <c r="AD201" s="2"/>
      <c r="AE201" s="2"/>
      <c r="AF201" s="2"/>
      <c r="AG201" s="2"/>
      <c r="AH201" s="2" t="s">
        <v>7497</v>
      </c>
      <c r="AI201" s="2" t="s">
        <v>7496</v>
      </c>
      <c r="AJ201" s="2"/>
      <c r="AK201" s="2"/>
      <c r="AL201" s="2" t="s">
        <v>7605</v>
      </c>
      <c r="AM201" s="2" t="s">
        <v>7604</v>
      </c>
      <c r="AN201" s="2"/>
      <c r="AO201" s="2" t="s">
        <v>7498</v>
      </c>
      <c r="AP201" s="2" t="s">
        <v>6929</v>
      </c>
      <c r="AQ201" s="2" t="s">
        <v>7285</v>
      </c>
      <c r="AR201" s="16" t="s">
        <v>7603</v>
      </c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spans="2:58" ht="17.25" customHeight="1">
      <c r="C202" s="1">
        <v>44027</v>
      </c>
      <c r="E202" s="2" t="s">
        <v>7448</v>
      </c>
      <c r="F202" s="15"/>
      <c r="G202" s="2" t="s">
        <v>7452</v>
      </c>
      <c r="H202" s="2" t="s">
        <v>7451</v>
      </c>
      <c r="I202" s="2"/>
      <c r="J202" s="2">
        <v>1</v>
      </c>
      <c r="K202" s="2"/>
      <c r="L202" s="3">
        <v>42.95</v>
      </c>
      <c r="M202" s="3">
        <v>4.29</v>
      </c>
      <c r="N202" s="3">
        <v>2.36</v>
      </c>
      <c r="O202" s="3">
        <v>3.81</v>
      </c>
      <c r="P202" s="3">
        <f>3.81-3.81</f>
        <v>0</v>
      </c>
      <c r="Q202" s="6">
        <f t="shared" ref="Q202:Q204" si="447">+L202-M202-N202+P202</f>
        <v>36.300000000000004</v>
      </c>
      <c r="R202" s="3"/>
      <c r="S202" s="3">
        <v>24.2</v>
      </c>
      <c r="T202" s="3">
        <v>2.15</v>
      </c>
      <c r="U202" s="3">
        <v>0</v>
      </c>
      <c r="V202" s="3"/>
      <c r="W202" s="3">
        <v>1.21</v>
      </c>
      <c r="X202" s="2">
        <f t="shared" ref="X202:X204" si="448">+S202+T202++U202+V202-W202</f>
        <v>25.139999999999997</v>
      </c>
      <c r="Y202" s="6">
        <f t="shared" ref="Y202:Y204" si="449">+Q202-X202</f>
        <v>11.160000000000007</v>
      </c>
      <c r="Z202" s="2"/>
      <c r="AA202" s="2"/>
      <c r="AB202" s="2"/>
      <c r="AC202" s="3"/>
      <c r="AD202" s="2"/>
      <c r="AE202" s="2"/>
      <c r="AF202" s="2"/>
      <c r="AG202" s="2"/>
      <c r="AH202" s="2" t="s">
        <v>7454</v>
      </c>
      <c r="AI202" s="2" t="s">
        <v>7453</v>
      </c>
      <c r="AJ202" s="2"/>
      <c r="AK202" s="2"/>
      <c r="AL202" s="2" t="s">
        <v>8022</v>
      </c>
      <c r="AM202" s="2" t="s">
        <v>8021</v>
      </c>
      <c r="AN202" s="2"/>
      <c r="AO202" s="2" t="s">
        <v>7900</v>
      </c>
      <c r="AP202" s="2" t="s">
        <v>6929</v>
      </c>
      <c r="AQ202" s="16" t="s">
        <v>7447</v>
      </c>
      <c r="AR202" s="16" t="s">
        <v>7879</v>
      </c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spans="2:58" ht="17.25" customHeight="1">
      <c r="C203" s="1">
        <v>44027</v>
      </c>
      <c r="E203" s="2" t="s">
        <v>7308</v>
      </c>
      <c r="F203" s="15"/>
      <c r="G203" s="2" t="s">
        <v>7456</v>
      </c>
      <c r="H203" s="2" t="s">
        <v>7455</v>
      </c>
      <c r="I203" s="2"/>
      <c r="J203" s="2">
        <v>1</v>
      </c>
      <c r="K203" s="2"/>
      <c r="L203" s="3">
        <v>23.15</v>
      </c>
      <c r="M203" s="3">
        <v>2.31</v>
      </c>
      <c r="N203" s="3">
        <v>1.39</v>
      </c>
      <c r="O203" s="3">
        <v>1.62</v>
      </c>
      <c r="P203" s="3">
        <f>1.62-1.62</f>
        <v>0</v>
      </c>
      <c r="Q203" s="6">
        <f t="shared" si="447"/>
        <v>19.45</v>
      </c>
      <c r="R203" s="3"/>
      <c r="S203" s="3">
        <v>12.97</v>
      </c>
      <c r="T203" s="3">
        <v>0.91</v>
      </c>
      <c r="U203" s="3"/>
      <c r="V203" s="3"/>
      <c r="W203" s="3">
        <v>0.65</v>
      </c>
      <c r="X203" s="3">
        <f t="shared" si="448"/>
        <v>13.23</v>
      </c>
      <c r="Y203" s="6">
        <f t="shared" si="449"/>
        <v>6.2199999999999989</v>
      </c>
      <c r="Z203" s="2"/>
      <c r="AA203" s="2"/>
      <c r="AB203" s="2"/>
      <c r="AC203" s="3"/>
      <c r="AD203" s="2"/>
      <c r="AE203" s="2"/>
      <c r="AF203" s="2"/>
      <c r="AG203" s="2"/>
      <c r="AH203" s="2" t="s">
        <v>7458</v>
      </c>
      <c r="AI203" s="2" t="s">
        <v>7457</v>
      </c>
      <c r="AJ203" s="2"/>
      <c r="AK203" s="2"/>
      <c r="AL203" s="2" t="s">
        <v>7538</v>
      </c>
      <c r="AM203" s="16" t="s">
        <v>7659</v>
      </c>
      <c r="AN203" s="2"/>
      <c r="AO203" s="10" t="s">
        <v>7536</v>
      </c>
      <c r="AP203" s="2" t="s">
        <v>6929</v>
      </c>
      <c r="AQ203" s="2" t="s">
        <v>7286</v>
      </c>
      <c r="AR203" s="16" t="s">
        <v>7532</v>
      </c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spans="2:58" ht="17.25" customHeight="1">
      <c r="C204" s="1">
        <v>44027</v>
      </c>
      <c r="E204" s="2" t="s">
        <v>6995</v>
      </c>
      <c r="F204" s="15"/>
      <c r="G204" s="2" t="s">
        <v>7474</v>
      </c>
      <c r="H204" s="2" t="s">
        <v>7473</v>
      </c>
      <c r="I204" s="2"/>
      <c r="J204" s="2">
        <v>1</v>
      </c>
      <c r="K204" s="2"/>
      <c r="L204" s="3">
        <v>52.5</v>
      </c>
      <c r="M204" s="3">
        <v>5.25</v>
      </c>
      <c r="N204" s="3">
        <v>2.74</v>
      </c>
      <c r="O204" s="3">
        <v>2.89</v>
      </c>
      <c r="P204" s="3">
        <f>2.89-2.89</f>
        <v>0</v>
      </c>
      <c r="Q204" s="6">
        <f t="shared" si="447"/>
        <v>44.51</v>
      </c>
      <c r="R204" s="3"/>
      <c r="S204" s="3">
        <v>29.99</v>
      </c>
      <c r="T204" s="3">
        <v>1.92</v>
      </c>
      <c r="U204" s="3">
        <v>5</v>
      </c>
      <c r="V204" s="3"/>
      <c r="W204" s="3"/>
      <c r="X204" s="2">
        <f t="shared" si="448"/>
        <v>36.909999999999997</v>
      </c>
      <c r="Y204" s="6">
        <f t="shared" si="449"/>
        <v>7.6000000000000014</v>
      </c>
      <c r="Z204" s="2"/>
      <c r="AA204" s="2"/>
      <c r="AB204" s="2"/>
      <c r="AC204" s="3"/>
      <c r="AD204" s="2"/>
      <c r="AE204" s="2"/>
      <c r="AF204" s="2"/>
      <c r="AG204" s="2"/>
      <c r="AH204" s="2" t="s">
        <v>7476</v>
      </c>
      <c r="AI204" s="2" t="s">
        <v>7475</v>
      </c>
      <c r="AJ204" s="2"/>
      <c r="AK204" s="2"/>
      <c r="AL204" s="2" t="s">
        <v>7607</v>
      </c>
      <c r="AM204" s="2" t="s">
        <v>7778</v>
      </c>
      <c r="AN204" s="2"/>
      <c r="AO204" s="2" t="s">
        <v>7549</v>
      </c>
      <c r="AP204" s="2" t="s">
        <v>2210</v>
      </c>
      <c r="AQ204" s="2" t="s">
        <v>6995</v>
      </c>
      <c r="AR204" s="16" t="s">
        <v>7779</v>
      </c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spans="2:58" ht="17.25" customHeight="1">
      <c r="C205" s="1">
        <v>44027</v>
      </c>
      <c r="E205" s="2" t="s">
        <v>7284</v>
      </c>
      <c r="F205" s="15"/>
      <c r="G205" s="2" t="s">
        <v>7479</v>
      </c>
      <c r="H205" s="2" t="s">
        <v>7480</v>
      </c>
      <c r="I205" s="2"/>
      <c r="J205" s="2">
        <v>0</v>
      </c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2"/>
      <c r="AA205" s="2"/>
      <c r="AB205" s="2"/>
      <c r="AC205" s="3"/>
      <c r="AD205" s="2"/>
      <c r="AE205" s="2"/>
      <c r="AF205" s="2"/>
      <c r="AG205" s="2"/>
      <c r="AH205" s="2" t="s">
        <v>7478</v>
      </c>
      <c r="AI205" s="2" t="s">
        <v>7477</v>
      </c>
      <c r="AJ205" s="2"/>
      <c r="AK205" s="2"/>
      <c r="AL205" s="2"/>
      <c r="AM205" s="2"/>
      <c r="AN205" s="2"/>
      <c r="AO205" s="2"/>
      <c r="AP205" s="5" t="s">
        <v>6799</v>
      </c>
      <c r="AQ205" s="2" t="s">
        <v>7285</v>
      </c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spans="2:58" ht="17.25" customHeight="1">
      <c r="C206" s="1">
        <v>44027</v>
      </c>
      <c r="E206" s="2" t="s">
        <v>7348</v>
      </c>
      <c r="F206" s="15"/>
      <c r="G206" s="2" t="s">
        <v>7460</v>
      </c>
      <c r="H206" s="2" t="s">
        <v>7459</v>
      </c>
      <c r="I206" s="2"/>
      <c r="J206" s="2">
        <v>1</v>
      </c>
      <c r="K206" s="2"/>
      <c r="L206" s="3">
        <v>17</v>
      </c>
      <c r="M206" s="3">
        <v>1.7</v>
      </c>
      <c r="N206" s="3">
        <v>1.1000000000000001</v>
      </c>
      <c r="O206" s="3">
        <v>0</v>
      </c>
      <c r="P206" s="3">
        <v>1.19</v>
      </c>
      <c r="Q206" s="6">
        <f t="shared" ref="Q206:Q208" si="450">+L206-M206-N206+P206</f>
        <v>15.39</v>
      </c>
      <c r="R206" s="3"/>
      <c r="S206" s="3">
        <v>9.44</v>
      </c>
      <c r="T206" s="3">
        <v>0.66</v>
      </c>
      <c r="U206" s="3"/>
      <c r="V206" s="3"/>
      <c r="W206" s="3">
        <v>0.5</v>
      </c>
      <c r="X206" s="3">
        <f t="shared" ref="X206:X207" si="451">+S206+T206++U206+V206-W206</f>
        <v>9.6</v>
      </c>
      <c r="Y206" s="6">
        <f t="shared" ref="Y206:Y207" si="452">+Q206-X206</f>
        <v>5.7900000000000009</v>
      </c>
      <c r="Z206" s="2"/>
      <c r="AA206" s="2"/>
      <c r="AB206" s="2"/>
      <c r="AC206" s="3"/>
      <c r="AD206" s="2"/>
      <c r="AE206" s="2"/>
      <c r="AF206" s="2"/>
      <c r="AG206" s="2"/>
      <c r="AH206" s="2" t="s">
        <v>7462</v>
      </c>
      <c r="AI206" s="2" t="s">
        <v>7461</v>
      </c>
      <c r="AJ206" s="2"/>
      <c r="AK206" s="2"/>
      <c r="AL206" s="2"/>
      <c r="AM206" s="2"/>
      <c r="AN206" s="2"/>
      <c r="AO206" s="2" t="s">
        <v>7731</v>
      </c>
      <c r="AP206" s="2" t="s">
        <v>6929</v>
      </c>
      <c r="AQ206" s="2" t="s">
        <v>7352</v>
      </c>
      <c r="AR206" s="16" t="s">
        <v>7671</v>
      </c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spans="2:58" ht="17.25" customHeight="1">
      <c r="C207" s="1">
        <v>44027</v>
      </c>
      <c r="E207" s="2" t="s">
        <v>6785</v>
      </c>
      <c r="F207" s="15"/>
      <c r="G207" s="2" t="s">
        <v>7464</v>
      </c>
      <c r="H207" s="2" t="s">
        <v>7463</v>
      </c>
      <c r="I207" s="2"/>
      <c r="J207" s="2">
        <v>1</v>
      </c>
      <c r="K207" s="2"/>
      <c r="L207" s="3">
        <v>35.700000000000003</v>
      </c>
      <c r="M207" s="3">
        <v>3.57</v>
      </c>
      <c r="N207" s="3">
        <v>2.02</v>
      </c>
      <c r="O207" s="3">
        <v>0</v>
      </c>
      <c r="P207" s="3">
        <f>3.28-3.28</f>
        <v>0</v>
      </c>
      <c r="Q207" s="6">
        <f t="shared" si="450"/>
        <v>30.110000000000003</v>
      </c>
      <c r="R207" s="3"/>
      <c r="S207" s="3">
        <v>16.989999999999998</v>
      </c>
      <c r="T207" s="3">
        <v>1.57</v>
      </c>
      <c r="U207" s="3">
        <v>5</v>
      </c>
      <c r="V207" s="3"/>
      <c r="W207" s="3">
        <v>0</v>
      </c>
      <c r="X207" s="2">
        <f t="shared" si="451"/>
        <v>23.56</v>
      </c>
      <c r="Y207" s="6">
        <f t="shared" si="452"/>
        <v>6.5500000000000043</v>
      </c>
      <c r="Z207" s="2"/>
      <c r="AA207" s="2"/>
      <c r="AB207" s="2"/>
      <c r="AC207" s="3"/>
      <c r="AD207" s="2"/>
      <c r="AE207" s="2"/>
      <c r="AF207" s="2"/>
      <c r="AG207" s="2"/>
      <c r="AH207" s="2" t="s">
        <v>7466</v>
      </c>
      <c r="AI207" s="2" t="s">
        <v>7465</v>
      </c>
      <c r="AJ207" s="2"/>
      <c r="AK207" s="2"/>
      <c r="AL207" s="2" t="s">
        <v>7607</v>
      </c>
      <c r="AM207" s="2" t="s">
        <v>7785</v>
      </c>
      <c r="AN207" s="2"/>
      <c r="AO207" s="2" t="s">
        <v>7691</v>
      </c>
      <c r="AP207" s="2" t="s">
        <v>2210</v>
      </c>
      <c r="AQ207" s="2" t="s">
        <v>7467</v>
      </c>
      <c r="AR207" s="16" t="s">
        <v>7779</v>
      </c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spans="2:58" ht="17.25" customHeight="1">
      <c r="C208" s="1">
        <v>44027</v>
      </c>
      <c r="E208" s="2" t="s">
        <v>7444</v>
      </c>
      <c r="F208" s="15"/>
      <c r="G208" s="2" t="s">
        <v>7469</v>
      </c>
      <c r="H208" s="2" t="s">
        <v>7468</v>
      </c>
      <c r="I208" s="2"/>
      <c r="J208" s="2">
        <v>1</v>
      </c>
      <c r="K208" s="2"/>
      <c r="L208" s="3">
        <v>27.95</v>
      </c>
      <c r="M208" s="3">
        <v>2.79</v>
      </c>
      <c r="N208" s="3">
        <v>1.61</v>
      </c>
      <c r="O208" s="3">
        <v>1.75</v>
      </c>
      <c r="P208" s="3">
        <f>1.75-1.75</f>
        <v>0</v>
      </c>
      <c r="Q208" s="6">
        <f t="shared" si="450"/>
        <v>23.55</v>
      </c>
      <c r="R208" s="3"/>
      <c r="S208" s="3">
        <v>11.99</v>
      </c>
      <c r="T208" s="3">
        <v>0.75</v>
      </c>
      <c r="U208" s="3"/>
      <c r="V208" s="3"/>
      <c r="W208" s="3"/>
      <c r="X208" s="2">
        <f t="shared" ref="X208" si="453">+S208+T208++U208+V208-W208</f>
        <v>12.74</v>
      </c>
      <c r="Y208" s="6">
        <f t="shared" ref="Y208" si="454">+Q208-X208</f>
        <v>10.81</v>
      </c>
      <c r="Z208" s="2"/>
      <c r="AA208" s="2"/>
      <c r="AB208" s="2"/>
      <c r="AC208" s="3"/>
      <c r="AD208" s="2"/>
      <c r="AE208" s="2"/>
      <c r="AF208" s="2"/>
      <c r="AG208" s="2"/>
      <c r="AH208" s="2" t="s">
        <v>7471</v>
      </c>
      <c r="AI208" s="2" t="s">
        <v>7470</v>
      </c>
      <c r="AJ208" s="2"/>
      <c r="AK208" s="2"/>
      <c r="AL208" s="2" t="s">
        <v>7826</v>
      </c>
      <c r="AM208" s="2" t="s">
        <v>8009</v>
      </c>
      <c r="AN208" s="2"/>
      <c r="AO208" s="2" t="s">
        <v>7791</v>
      </c>
      <c r="AP208" s="2" t="s">
        <v>6931</v>
      </c>
      <c r="AQ208" s="16" t="s">
        <v>7472</v>
      </c>
      <c r="AR208" s="16" t="s">
        <v>8011</v>
      </c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</row>
    <row r="209" spans="3:58" ht="17.25" customHeight="1">
      <c r="C209" s="1">
        <v>44027</v>
      </c>
      <c r="E209" s="2" t="s">
        <v>7284</v>
      </c>
      <c r="F209" s="15"/>
      <c r="G209" s="2" t="s">
        <v>7450</v>
      </c>
      <c r="H209" s="2" t="s">
        <v>7449</v>
      </c>
      <c r="I209" s="2"/>
      <c r="J209" s="2">
        <v>1</v>
      </c>
      <c r="K209" s="2"/>
      <c r="L209" s="3">
        <v>34.85</v>
      </c>
      <c r="M209" s="3">
        <v>3.48</v>
      </c>
      <c r="N209" s="3">
        <v>1.76</v>
      </c>
      <c r="O209" s="3">
        <v>2.1800000000000002</v>
      </c>
      <c r="P209" s="3">
        <f>2.18-2.18</f>
        <v>0</v>
      </c>
      <c r="Q209" s="6">
        <f t="shared" ref="Q209:Q210" si="455">+L209-M209-N209+P209</f>
        <v>29.61</v>
      </c>
      <c r="R209" s="3"/>
      <c r="S209" s="3">
        <v>18.98</v>
      </c>
      <c r="T209" s="3">
        <v>1.19</v>
      </c>
      <c r="U209" s="3"/>
      <c r="V209" s="3"/>
      <c r="W209" s="3">
        <v>0.95</v>
      </c>
      <c r="X209" s="2">
        <f t="shared" ref="X209" si="456">+S209+T209++U209+V209-W209</f>
        <v>19.220000000000002</v>
      </c>
      <c r="Y209" s="6">
        <f t="shared" ref="Y209" si="457">+Q209-X209</f>
        <v>10.389999999999997</v>
      </c>
      <c r="Z209" s="2"/>
      <c r="AA209" s="2"/>
      <c r="AB209" s="2"/>
      <c r="AC209" s="3"/>
      <c r="AD209" s="2"/>
      <c r="AE209" s="2"/>
      <c r="AF209" s="2"/>
      <c r="AG209" s="2"/>
      <c r="AH209" s="2" t="s">
        <v>7446</v>
      </c>
      <c r="AI209" s="2" t="s">
        <v>7445</v>
      </c>
      <c r="AJ209" s="2"/>
      <c r="AK209" s="2"/>
      <c r="AL209" s="2" t="s">
        <v>7826</v>
      </c>
      <c r="AM209" s="2" t="s">
        <v>8012</v>
      </c>
      <c r="AN209" s="2"/>
      <c r="AO209" s="2" t="s">
        <v>7790</v>
      </c>
      <c r="AP209" s="2" t="s">
        <v>6929</v>
      </c>
      <c r="AQ209" s="2" t="s">
        <v>7285</v>
      </c>
      <c r="AR209" s="16" t="s">
        <v>8128</v>
      </c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</row>
    <row r="210" spans="3:58" ht="17.25" customHeight="1">
      <c r="C210" s="1">
        <v>44027</v>
      </c>
      <c r="E210" s="2" t="s">
        <v>7448</v>
      </c>
      <c r="F210" s="15"/>
      <c r="G210" s="2" t="s">
        <v>7450</v>
      </c>
      <c r="H210" s="2" t="s">
        <v>7449</v>
      </c>
      <c r="I210" s="2"/>
      <c r="J210" s="2">
        <v>1</v>
      </c>
      <c r="K210" s="2"/>
      <c r="L210" s="3">
        <v>42.95</v>
      </c>
      <c r="M210" s="3">
        <v>4.29</v>
      </c>
      <c r="N210" s="3">
        <v>2.1800000000000002</v>
      </c>
      <c r="O210" s="3">
        <v>2.68</v>
      </c>
      <c r="P210" s="3">
        <f>2.68-2.68</f>
        <v>0</v>
      </c>
      <c r="Q210" s="6">
        <f t="shared" si="455"/>
        <v>36.480000000000004</v>
      </c>
      <c r="R210" s="3"/>
      <c r="S210" s="3">
        <v>25.99</v>
      </c>
      <c r="T210" s="3">
        <v>1.62</v>
      </c>
      <c r="U210" s="3">
        <v>0</v>
      </c>
      <c r="V210" s="3"/>
      <c r="W210" s="3">
        <v>1.3</v>
      </c>
      <c r="X210" s="2">
        <f t="shared" ref="X210" si="458">+S210+T210++U210+V210-W210</f>
        <v>26.31</v>
      </c>
      <c r="Y210" s="6">
        <f t="shared" ref="Y210" si="459">+Q210-X210</f>
        <v>10.170000000000005</v>
      </c>
      <c r="Z210" s="2"/>
      <c r="AA210" s="2"/>
      <c r="AB210" s="2"/>
      <c r="AC210" s="3"/>
      <c r="AD210" s="2"/>
      <c r="AE210" s="2"/>
      <c r="AF210" s="2"/>
      <c r="AG210" s="2"/>
      <c r="AH210" s="2" t="s">
        <v>7446</v>
      </c>
      <c r="AI210" s="2" t="s">
        <v>7445</v>
      </c>
      <c r="AJ210" s="2"/>
      <c r="AK210" s="2"/>
      <c r="AL210" s="2" t="s">
        <v>7826</v>
      </c>
      <c r="AM210" s="2" t="s">
        <v>8012</v>
      </c>
      <c r="AN210" s="2"/>
      <c r="AO210" s="2" t="s">
        <v>7790</v>
      </c>
      <c r="AP210" s="2" t="s">
        <v>6929</v>
      </c>
      <c r="AQ210" s="16" t="s">
        <v>7447</v>
      </c>
      <c r="AR210" s="16" t="s">
        <v>7725</v>
      </c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</row>
    <row r="211" spans="3:58" ht="17.25" customHeight="1">
      <c r="C211" s="1">
        <v>44027</v>
      </c>
      <c r="E211" s="2" t="s">
        <v>7284</v>
      </c>
      <c r="F211" s="15"/>
      <c r="G211" s="2" t="s">
        <v>7432</v>
      </c>
      <c r="H211" s="2" t="s">
        <v>7431</v>
      </c>
      <c r="I211" s="2"/>
      <c r="J211" s="2">
        <v>1</v>
      </c>
      <c r="K211" s="2"/>
      <c r="L211" s="3">
        <v>34.85</v>
      </c>
      <c r="M211" s="3">
        <v>3.48</v>
      </c>
      <c r="N211" s="3">
        <v>1.93</v>
      </c>
      <c r="O211" s="3">
        <v>2.1</v>
      </c>
      <c r="P211" s="3">
        <f>2.1-2.1</f>
        <v>0</v>
      </c>
      <c r="Q211" s="6">
        <f t="shared" ref="Q211" si="460">+L211-M211-N211+P211</f>
        <v>29.44</v>
      </c>
      <c r="R211" s="3"/>
      <c r="S211" s="3">
        <v>18.989999999999998</v>
      </c>
      <c r="T211" s="3">
        <v>1.1399999999999999</v>
      </c>
      <c r="U211" s="3"/>
      <c r="V211" s="3"/>
      <c r="W211" s="3">
        <v>0.95</v>
      </c>
      <c r="X211" s="2">
        <f t="shared" ref="X211" si="461">+S211+T211++U211+V211-W211</f>
        <v>19.18</v>
      </c>
      <c r="Y211" s="6">
        <f t="shared" ref="Y211" si="462">+Q211-X211</f>
        <v>10.260000000000002</v>
      </c>
      <c r="Z211" s="2"/>
      <c r="AA211" s="2"/>
      <c r="AB211" s="2"/>
      <c r="AC211" s="3"/>
      <c r="AD211" s="2"/>
      <c r="AE211" s="2"/>
      <c r="AF211" s="2"/>
      <c r="AG211" s="2"/>
      <c r="AH211" s="2" t="s">
        <v>7434</v>
      </c>
      <c r="AI211" s="2" t="s">
        <v>7433</v>
      </c>
      <c r="AJ211" s="2"/>
      <c r="AK211" s="2"/>
      <c r="AL211" s="2" t="s">
        <v>7605</v>
      </c>
      <c r="AM211" s="2" t="s">
        <v>7664</v>
      </c>
      <c r="AN211" s="2"/>
      <c r="AO211" s="2" t="s">
        <v>7583</v>
      </c>
      <c r="AP211" s="2" t="s">
        <v>6929</v>
      </c>
      <c r="AQ211" s="2" t="s">
        <v>7285</v>
      </c>
      <c r="AR211" s="16" t="s">
        <v>7597</v>
      </c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</row>
    <row r="212" spans="3:58" ht="17.25" customHeight="1">
      <c r="C212" s="1">
        <v>44027</v>
      </c>
      <c r="E212" s="2" t="s">
        <v>7284</v>
      </c>
      <c r="F212" s="15"/>
      <c r="G212" s="2" t="s">
        <v>7428</v>
      </c>
      <c r="H212" s="2" t="s">
        <v>7427</v>
      </c>
      <c r="I212" s="2"/>
      <c r="J212" s="2">
        <v>1</v>
      </c>
      <c r="K212" s="2"/>
      <c r="L212" s="3">
        <v>69.7</v>
      </c>
      <c r="M212" s="3">
        <v>6.97</v>
      </c>
      <c r="N212" s="3">
        <v>3.58</v>
      </c>
      <c r="O212" s="3">
        <v>0</v>
      </c>
      <c r="P212" s="3">
        <f>4.88-4.88</f>
        <v>0</v>
      </c>
      <c r="Q212" s="6">
        <f t="shared" ref="Q212" si="463">+L212-M212-N212+P212</f>
        <v>59.150000000000006</v>
      </c>
      <c r="R212" s="3"/>
      <c r="S212" s="3">
        <v>37.979999999999997</v>
      </c>
      <c r="T212" s="3">
        <v>2.66</v>
      </c>
      <c r="U212" s="3"/>
      <c r="V212" s="3"/>
      <c r="W212" s="3">
        <v>1.9</v>
      </c>
      <c r="X212" s="2">
        <f t="shared" ref="X212" si="464">+S212+T212++U212+V212-W212</f>
        <v>38.74</v>
      </c>
      <c r="Y212" s="6">
        <f t="shared" ref="Y212" si="465">+Q212-X212</f>
        <v>20.410000000000004</v>
      </c>
      <c r="Z212" s="2"/>
      <c r="AA212" s="2"/>
      <c r="AB212" s="2"/>
      <c r="AC212" s="3"/>
      <c r="AD212" s="2"/>
      <c r="AE212" s="2"/>
      <c r="AF212" s="2"/>
      <c r="AG212" s="2"/>
      <c r="AH212" s="2" t="s">
        <v>7430</v>
      </c>
      <c r="AI212" s="2" t="s">
        <v>7429</v>
      </c>
      <c r="AJ212" s="2"/>
      <c r="AK212" s="2"/>
      <c r="AL212" s="2" t="s">
        <v>7605</v>
      </c>
      <c r="AM212" s="2" t="s">
        <v>7733</v>
      </c>
      <c r="AN212" s="2"/>
      <c r="AO212" s="2" t="s">
        <v>7582</v>
      </c>
      <c r="AP212" s="2" t="s">
        <v>6929</v>
      </c>
      <c r="AQ212" s="2" t="s">
        <v>7285</v>
      </c>
      <c r="AR212" s="16" t="s">
        <v>7597</v>
      </c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</row>
    <row r="213" spans="3:58" ht="17.25" customHeight="1">
      <c r="C213" s="1">
        <v>44027</v>
      </c>
      <c r="E213" s="2" t="s">
        <v>7412</v>
      </c>
      <c r="F213" s="15"/>
      <c r="G213" s="2" t="s">
        <v>7418</v>
      </c>
      <c r="H213" s="2" t="s">
        <v>7417</v>
      </c>
      <c r="I213" s="2"/>
      <c r="J213" s="2">
        <v>1</v>
      </c>
      <c r="K213" s="2"/>
      <c r="L213" s="3">
        <v>72.5</v>
      </c>
      <c r="M213" s="3">
        <v>7.25</v>
      </c>
      <c r="N213" s="3">
        <v>3.71</v>
      </c>
      <c r="O213" s="3">
        <v>0</v>
      </c>
      <c r="P213" s="3">
        <v>5.08</v>
      </c>
      <c r="Q213" s="6">
        <f t="shared" ref="Q213:Q214" si="466">+L213-M213-N213+P213</f>
        <v>66.62</v>
      </c>
      <c r="R213" s="3"/>
      <c r="S213" s="3">
        <v>45.99</v>
      </c>
      <c r="T213" s="3"/>
      <c r="U213" s="3">
        <v>4.99</v>
      </c>
      <c r="V213" s="3"/>
      <c r="W213" s="3">
        <v>4.59</v>
      </c>
      <c r="X213" s="2">
        <f t="shared" ref="X213:X214" si="467">+S213+T213++U213+V213-W213</f>
        <v>46.39</v>
      </c>
      <c r="Y213" s="6">
        <f t="shared" ref="Y213:Y214" si="468">+Q213-X213</f>
        <v>20.230000000000004</v>
      </c>
      <c r="Z213" s="2"/>
      <c r="AA213" s="2"/>
      <c r="AB213" s="2"/>
      <c r="AC213" s="3"/>
      <c r="AD213" s="2"/>
      <c r="AE213" s="2"/>
      <c r="AF213" s="2"/>
      <c r="AG213" s="2"/>
      <c r="AH213" s="2" t="s">
        <v>7420</v>
      </c>
      <c r="AI213" s="2" t="s">
        <v>7419</v>
      </c>
      <c r="AJ213" s="2"/>
      <c r="AK213" s="2"/>
      <c r="AL213" s="2" t="s">
        <v>2926</v>
      </c>
      <c r="AM213" s="16" t="s">
        <v>7949</v>
      </c>
      <c r="AN213" s="2"/>
      <c r="AO213" s="2" t="s">
        <v>7730</v>
      </c>
      <c r="AP213" s="2" t="s">
        <v>6912</v>
      </c>
      <c r="AQ213" s="2" t="s">
        <v>7423</v>
      </c>
      <c r="AR213" s="16" t="s">
        <v>7879</v>
      </c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</row>
    <row r="214" spans="3:58" ht="17.25" customHeight="1">
      <c r="C214" s="1">
        <v>44027</v>
      </c>
      <c r="E214" s="2" t="s">
        <v>7284</v>
      </c>
      <c r="F214" s="15"/>
      <c r="G214" s="2" t="s">
        <v>8602</v>
      </c>
      <c r="H214" s="2" t="s">
        <v>7424</v>
      </c>
      <c r="I214" s="2"/>
      <c r="J214" s="2">
        <v>1</v>
      </c>
      <c r="K214" s="2"/>
      <c r="L214" s="3">
        <v>34.85</v>
      </c>
      <c r="M214" s="3">
        <v>3.48</v>
      </c>
      <c r="N214" s="3">
        <v>1.94</v>
      </c>
      <c r="O214" s="3">
        <v>2.44</v>
      </c>
      <c r="P214" s="3">
        <f>2.44-2.44</f>
        <v>0</v>
      </c>
      <c r="Q214" s="6">
        <f t="shared" si="466"/>
        <v>29.43</v>
      </c>
      <c r="R214" s="3"/>
      <c r="S214" s="3">
        <v>18.989999999999998</v>
      </c>
      <c r="T214" s="3">
        <v>1.33</v>
      </c>
      <c r="U214" s="3"/>
      <c r="V214" s="3"/>
      <c r="W214" s="3">
        <v>0.95</v>
      </c>
      <c r="X214" s="2">
        <f t="shared" si="467"/>
        <v>19.37</v>
      </c>
      <c r="Y214" s="6">
        <f t="shared" si="468"/>
        <v>10.059999999999999</v>
      </c>
      <c r="Z214" s="2"/>
      <c r="AA214" s="2"/>
      <c r="AB214" s="2"/>
      <c r="AC214" s="3"/>
      <c r="AD214" s="2"/>
      <c r="AE214" s="2"/>
      <c r="AF214" s="2"/>
      <c r="AG214" s="2"/>
      <c r="AH214" s="2" t="s">
        <v>7426</v>
      </c>
      <c r="AI214" s="2" t="s">
        <v>7425</v>
      </c>
      <c r="AJ214" s="2"/>
      <c r="AK214" s="2"/>
      <c r="AL214" s="2" t="s">
        <v>7538</v>
      </c>
      <c r="AM214" s="16" t="s">
        <v>7662</v>
      </c>
      <c r="AN214" s="2"/>
      <c r="AO214" s="2" t="s">
        <v>7581</v>
      </c>
      <c r="AP214" s="2" t="s">
        <v>6929</v>
      </c>
      <c r="AQ214" s="2" t="s">
        <v>7285</v>
      </c>
      <c r="AR214" s="16" t="s">
        <v>7532</v>
      </c>
      <c r="AS214" s="2" t="s">
        <v>7968</v>
      </c>
      <c r="AT214" s="2"/>
      <c r="AU214" s="2" t="s">
        <v>7969</v>
      </c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</row>
    <row r="215" spans="3:58" ht="17.25" customHeight="1">
      <c r="C215" s="1">
        <v>44027</v>
      </c>
      <c r="E215" s="2" t="s">
        <v>7412</v>
      </c>
      <c r="F215" s="15"/>
      <c r="G215" s="2" t="s">
        <v>7414</v>
      </c>
      <c r="H215" s="2" t="s">
        <v>7413</v>
      </c>
      <c r="I215" s="2"/>
      <c r="J215" s="2">
        <v>1</v>
      </c>
      <c r="K215" s="2"/>
      <c r="L215" s="3">
        <v>72.5</v>
      </c>
      <c r="M215" s="3">
        <v>7.25</v>
      </c>
      <c r="N215" s="3">
        <v>3.71</v>
      </c>
      <c r="O215" s="3">
        <v>0</v>
      </c>
      <c r="P215" s="3">
        <v>5.08</v>
      </c>
      <c r="Q215" s="6">
        <f t="shared" ref="Q215" si="469">+L215-M215-N215+P215</f>
        <v>66.62</v>
      </c>
      <c r="R215" s="3"/>
      <c r="S215" s="3">
        <v>45.99</v>
      </c>
      <c r="T215" s="3"/>
      <c r="U215" s="3">
        <v>4.99</v>
      </c>
      <c r="V215" s="3"/>
      <c r="W215" s="3">
        <v>4.59</v>
      </c>
      <c r="X215" s="2">
        <f t="shared" ref="X215" si="470">+S215+T215++U215+V215-W215</f>
        <v>46.39</v>
      </c>
      <c r="Y215" s="6">
        <f t="shared" ref="Y215" si="471">+Q215-X215</f>
        <v>20.230000000000004</v>
      </c>
      <c r="Z215" s="6">
        <f>SUM(Y202:Y215)</f>
        <v>149.88</v>
      </c>
      <c r="AA215" s="34">
        <f>SUM(J202:J215)</f>
        <v>13</v>
      </c>
      <c r="AB215" s="2"/>
      <c r="AC215" s="3"/>
      <c r="AD215" s="2"/>
      <c r="AE215" s="2"/>
      <c r="AF215" s="2"/>
      <c r="AG215" s="2"/>
      <c r="AH215" s="2" t="s">
        <v>7422</v>
      </c>
      <c r="AI215" s="2" t="s">
        <v>7421</v>
      </c>
      <c r="AJ215" s="2"/>
      <c r="AK215" s="2"/>
      <c r="AL215" s="2" t="s">
        <v>2926</v>
      </c>
      <c r="AM215" s="16" t="s">
        <v>7950</v>
      </c>
      <c r="AN215" s="2"/>
      <c r="AO215" s="2" t="s">
        <v>7729</v>
      </c>
      <c r="AP215" s="2" t="s">
        <v>6912</v>
      </c>
      <c r="AQ215" s="2" t="s">
        <v>7423</v>
      </c>
      <c r="AR215" s="16" t="s">
        <v>8049</v>
      </c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</row>
    <row r="216" spans="3:58" ht="17.25" customHeight="1">
      <c r="C216" s="1">
        <v>44026</v>
      </c>
      <c r="E216" s="2" t="s">
        <v>7411</v>
      </c>
      <c r="F216" s="15"/>
      <c r="G216" s="2" t="s">
        <v>6806</v>
      </c>
      <c r="H216" s="2" t="s">
        <v>6805</v>
      </c>
      <c r="I216" s="2"/>
      <c r="J216" s="2">
        <v>1</v>
      </c>
      <c r="K216" s="2"/>
      <c r="L216" s="3">
        <v>84.5</v>
      </c>
      <c r="M216" s="3">
        <v>8.4499999999999993</v>
      </c>
      <c r="N216" s="3">
        <v>4.32</v>
      </c>
      <c r="O216" s="3">
        <v>6.76</v>
      </c>
      <c r="P216" s="3">
        <f>6.76-6.76</f>
        <v>0</v>
      </c>
      <c r="Q216" s="6">
        <f t="shared" ref="Q216" si="472">+L216-M216-N216+P216</f>
        <v>71.72999999999999</v>
      </c>
      <c r="R216" s="3"/>
      <c r="S216" s="3">
        <v>65.19</v>
      </c>
      <c r="T216" s="3">
        <v>4.1399999999999997</v>
      </c>
      <c r="U216" s="3"/>
      <c r="V216" s="3"/>
      <c r="W216" s="3">
        <f>6.51+0.41</f>
        <v>6.92</v>
      </c>
      <c r="X216" s="2">
        <f t="shared" ref="X216" si="473">+S216+T216++U216+V216-W216</f>
        <v>62.41</v>
      </c>
      <c r="Y216" s="6">
        <f t="shared" ref="Y216" si="474">+Q216-X216</f>
        <v>9.3199999999999932</v>
      </c>
      <c r="Z216" s="2"/>
      <c r="AA216" s="2"/>
      <c r="AB216" s="2"/>
      <c r="AC216" s="3"/>
      <c r="AD216" s="2"/>
      <c r="AE216" s="2"/>
      <c r="AF216" s="2"/>
      <c r="AG216" s="2"/>
      <c r="AH216" s="2" t="s">
        <v>6808</v>
      </c>
      <c r="AI216" s="2" t="s">
        <v>6807</v>
      </c>
      <c r="AJ216" s="2"/>
      <c r="AK216" s="2"/>
      <c r="AL216" s="2" t="s">
        <v>7876</v>
      </c>
      <c r="AM216" s="16" t="s">
        <v>7877</v>
      </c>
      <c r="AN216" s="2"/>
      <c r="AO216" s="2" t="s">
        <v>7853</v>
      </c>
      <c r="AP216" s="2" t="s">
        <v>7215</v>
      </c>
      <c r="AQ216" s="2" t="s">
        <v>6910</v>
      </c>
      <c r="AR216" s="16" t="s">
        <v>7852</v>
      </c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</row>
    <row r="217" spans="3:58" ht="17.25" customHeight="1">
      <c r="C217" s="1">
        <v>44026</v>
      </c>
      <c r="E217" s="2" t="s">
        <v>7402</v>
      </c>
      <c r="F217" s="15"/>
      <c r="G217" s="2" t="s">
        <v>7404</v>
      </c>
      <c r="H217" s="2" t="s">
        <v>7403</v>
      </c>
      <c r="I217" s="2"/>
      <c r="J217" s="2">
        <v>1</v>
      </c>
      <c r="K217" s="2"/>
      <c r="L217" s="3">
        <v>57.5</v>
      </c>
      <c r="M217" s="3">
        <v>5.75</v>
      </c>
      <c r="N217" s="3">
        <v>2.99</v>
      </c>
      <c r="O217" s="3">
        <v>3.65</v>
      </c>
      <c r="P217" s="3">
        <f>3.65-3.65</f>
        <v>0</v>
      </c>
      <c r="Q217" s="6">
        <f t="shared" ref="Q217:Q218" si="475">+L217-M217-N217+P217</f>
        <v>48.76</v>
      </c>
      <c r="R217" s="3"/>
      <c r="S217" s="3">
        <v>39.99</v>
      </c>
      <c r="T217" s="3">
        <v>2.54</v>
      </c>
      <c r="U217" s="3"/>
      <c r="V217" s="3"/>
      <c r="W217" s="3"/>
      <c r="X217" s="2">
        <f t="shared" ref="X217" si="476">+S217+T217++U217+V217-W217</f>
        <v>42.53</v>
      </c>
      <c r="Y217" s="6">
        <f t="shared" ref="Y217" si="477">+Q217-X217</f>
        <v>6.2299999999999969</v>
      </c>
      <c r="Z217" s="2"/>
      <c r="AA217" s="2"/>
      <c r="AB217" s="2"/>
      <c r="AC217" s="3"/>
      <c r="AD217" s="2"/>
      <c r="AE217" s="2"/>
      <c r="AF217" s="2"/>
      <c r="AG217" s="2"/>
      <c r="AH217" s="2" t="s">
        <v>7406</v>
      </c>
      <c r="AI217" s="2" t="s">
        <v>7405</v>
      </c>
      <c r="AJ217" s="2"/>
      <c r="AK217" s="2"/>
      <c r="AL217" s="2" t="s">
        <v>7826</v>
      </c>
      <c r="AM217" s="2" t="s">
        <v>7829</v>
      </c>
      <c r="AN217" s="2"/>
      <c r="AO217" s="2" t="s">
        <v>7789</v>
      </c>
      <c r="AP217" s="2" t="s">
        <v>6929</v>
      </c>
      <c r="AQ217" s="2" t="s">
        <v>7407</v>
      </c>
      <c r="AR217" s="16" t="s">
        <v>7871</v>
      </c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</row>
    <row r="218" spans="3:58" ht="17.25" customHeight="1">
      <c r="C218" s="1">
        <v>44026</v>
      </c>
      <c r="E218" s="2" t="s">
        <v>6995</v>
      </c>
      <c r="F218" s="15"/>
      <c r="G218" s="2" t="s">
        <v>7395</v>
      </c>
      <c r="H218" s="2" t="s">
        <v>7394</v>
      </c>
      <c r="I218" s="2"/>
      <c r="J218" s="2">
        <v>1</v>
      </c>
      <c r="K218" s="2"/>
      <c r="L218" s="3">
        <v>52.5</v>
      </c>
      <c r="M218" s="3">
        <v>5.25</v>
      </c>
      <c r="N218" s="3">
        <v>2.77</v>
      </c>
      <c r="O218" s="3">
        <v>0</v>
      </c>
      <c r="P218" s="3">
        <v>3.68</v>
      </c>
      <c r="Q218" s="6">
        <f t="shared" si="475"/>
        <v>48.16</v>
      </c>
      <c r="R218" s="3"/>
      <c r="S218" s="3">
        <v>29.99</v>
      </c>
      <c r="T218" s="3">
        <v>2.4500000000000002</v>
      </c>
      <c r="U218" s="3">
        <v>5</v>
      </c>
      <c r="V218" s="3"/>
      <c r="W218" s="3"/>
      <c r="X218" s="2">
        <f t="shared" ref="X218" si="478">+S218+T218++U218+V218-W218</f>
        <v>37.44</v>
      </c>
      <c r="Y218" s="6">
        <f t="shared" ref="Y218" si="479">+Q218-X218</f>
        <v>10.719999999999999</v>
      </c>
      <c r="Z218" s="6">
        <f>SUM(Y216:Y218)</f>
        <v>26.269999999999989</v>
      </c>
      <c r="AA218" s="34">
        <f>SUM(J216:J218)</f>
        <v>3</v>
      </c>
      <c r="AB218" s="2"/>
      <c r="AC218" s="3"/>
      <c r="AD218" s="2"/>
      <c r="AE218" s="2"/>
      <c r="AF218" s="2"/>
      <c r="AG218" s="2"/>
      <c r="AH218" s="2" t="s">
        <v>7397</v>
      </c>
      <c r="AI218" s="2" t="s">
        <v>7396</v>
      </c>
      <c r="AJ218" s="2"/>
      <c r="AK218" s="2"/>
      <c r="AL218" s="2" t="s">
        <v>7607</v>
      </c>
      <c r="AM218" s="2" t="s">
        <v>7780</v>
      </c>
      <c r="AN218" s="2"/>
      <c r="AO218" s="2" t="s">
        <v>7551</v>
      </c>
      <c r="AP218" s="2" t="s">
        <v>6911</v>
      </c>
      <c r="AQ218" s="2" t="s">
        <v>6995</v>
      </c>
      <c r="AR218" s="16" t="s">
        <v>7592</v>
      </c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</row>
    <row r="219" spans="3:58" ht="17.25" customHeight="1">
      <c r="C219" s="1">
        <v>44025</v>
      </c>
      <c r="E219" s="2" t="s">
        <v>6863</v>
      </c>
      <c r="F219" s="15"/>
      <c r="G219" s="2" t="s">
        <v>7384</v>
      </c>
      <c r="H219" s="2" t="s">
        <v>7599</v>
      </c>
      <c r="I219" s="2"/>
      <c r="J219" s="2">
        <v>1</v>
      </c>
      <c r="K219" s="2"/>
      <c r="L219" s="3">
        <v>0</v>
      </c>
      <c r="M219" s="3">
        <v>0</v>
      </c>
      <c r="N219" s="3">
        <v>0</v>
      </c>
      <c r="O219" s="3">
        <v>0</v>
      </c>
      <c r="P219" s="3">
        <f>1.51-1.51</f>
        <v>0</v>
      </c>
      <c r="Q219" s="6">
        <f t="shared" ref="Q219:Q223" si="480">+L219-M219-N219+P219</f>
        <v>0</v>
      </c>
      <c r="R219" s="3"/>
      <c r="S219" s="3">
        <v>0</v>
      </c>
      <c r="T219" s="3">
        <v>0</v>
      </c>
      <c r="U219" s="3">
        <v>0</v>
      </c>
      <c r="V219" s="3"/>
      <c r="W219" s="3"/>
      <c r="X219" s="3">
        <f t="shared" ref="X219" si="481">+S219+T219++U219+V219-W219</f>
        <v>0</v>
      </c>
      <c r="Y219" s="6">
        <f t="shared" ref="Y219" si="482">+Q219-X219</f>
        <v>0</v>
      </c>
      <c r="Z219" s="2"/>
      <c r="AA219" s="2"/>
      <c r="AB219" s="2"/>
      <c r="AC219" s="3"/>
      <c r="AD219" s="2"/>
      <c r="AE219" s="2"/>
      <c r="AF219" s="2"/>
      <c r="AG219" s="2"/>
      <c r="AH219" s="2" t="s">
        <v>7386</v>
      </c>
      <c r="AI219" s="2" t="s">
        <v>7385</v>
      </c>
      <c r="AJ219" s="2"/>
      <c r="AK219" s="2"/>
      <c r="AL219" s="2"/>
      <c r="AM219" s="2"/>
      <c r="AN219" s="2"/>
      <c r="AO219" s="2"/>
      <c r="AP219" s="5" t="s">
        <v>493</v>
      </c>
      <c r="AQ219" s="2" t="s">
        <v>7387</v>
      </c>
      <c r="AR219" s="2" t="s">
        <v>7548</v>
      </c>
      <c r="AS219" s="2"/>
      <c r="AT219" s="2"/>
      <c r="AU219" s="2" t="s">
        <v>7550</v>
      </c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</row>
    <row r="220" spans="3:58" ht="17.25" customHeight="1">
      <c r="C220" s="1">
        <v>44025</v>
      </c>
      <c r="E220" s="2" t="s">
        <v>7571</v>
      </c>
      <c r="F220" s="15"/>
      <c r="G220" s="2" t="s">
        <v>7370</v>
      </c>
      <c r="H220" s="2" t="s">
        <v>7369</v>
      </c>
      <c r="I220" s="2"/>
      <c r="J220" s="2">
        <v>1</v>
      </c>
      <c r="K220" s="2"/>
      <c r="L220" s="3">
        <v>33.5</v>
      </c>
      <c r="M220" s="3">
        <v>3.35</v>
      </c>
      <c r="N220" s="3">
        <v>1.91</v>
      </c>
      <c r="O220" s="3">
        <v>3.02</v>
      </c>
      <c r="P220" s="3">
        <f>3.02-3.02</f>
        <v>0</v>
      </c>
      <c r="Q220" s="6">
        <f t="shared" si="480"/>
        <v>28.24</v>
      </c>
      <c r="R220" s="3"/>
      <c r="S220" s="3">
        <v>21.99</v>
      </c>
      <c r="T220" s="3">
        <v>1.98</v>
      </c>
      <c r="U220" s="3"/>
      <c r="V220" s="3"/>
      <c r="W220" s="3">
        <v>1.1000000000000001</v>
      </c>
      <c r="X220" s="3">
        <f t="shared" ref="X220" si="483">+S220+T220++U220+V220-W220</f>
        <v>22.869999999999997</v>
      </c>
      <c r="Y220" s="6">
        <f t="shared" ref="Y220" si="484">+Q220-X220</f>
        <v>5.370000000000001</v>
      </c>
      <c r="Z220" s="2"/>
      <c r="AA220" s="2"/>
      <c r="AB220" s="2"/>
      <c r="AC220" s="3"/>
      <c r="AD220" s="2"/>
      <c r="AE220" s="2"/>
      <c r="AF220" s="2"/>
      <c r="AG220" s="2"/>
      <c r="AH220" s="2" t="s">
        <v>7372</v>
      </c>
      <c r="AI220" s="2" t="s">
        <v>7371</v>
      </c>
      <c r="AJ220" s="2"/>
      <c r="AK220" s="2"/>
      <c r="AL220" s="2" t="s">
        <v>7605</v>
      </c>
      <c r="AM220" s="2" t="s">
        <v>7734</v>
      </c>
      <c r="AN220" s="2"/>
      <c r="AO220" s="2" t="s">
        <v>7601</v>
      </c>
      <c r="AP220" s="2" t="s">
        <v>6929</v>
      </c>
      <c r="AQ220" s="2" t="s">
        <v>7600</v>
      </c>
      <c r="AR220" s="16" t="s">
        <v>7782</v>
      </c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</row>
    <row r="221" spans="3:58" ht="17.25" customHeight="1">
      <c r="C221" s="1">
        <v>44025</v>
      </c>
      <c r="E221" s="2" t="s">
        <v>7342</v>
      </c>
      <c r="F221" s="15"/>
      <c r="G221" s="2" t="s">
        <v>7365</v>
      </c>
      <c r="H221" s="2" t="s">
        <v>7364</v>
      </c>
      <c r="I221" s="2"/>
      <c r="J221" s="2">
        <v>1</v>
      </c>
      <c r="K221" s="2"/>
      <c r="L221" s="3">
        <v>77.5</v>
      </c>
      <c r="M221" s="3">
        <v>7.75</v>
      </c>
      <c r="N221" s="3">
        <v>3.97</v>
      </c>
      <c r="O221" s="3">
        <v>6.01</v>
      </c>
      <c r="P221" s="3">
        <f>6.01-6.01</f>
        <v>0</v>
      </c>
      <c r="Q221" s="6">
        <f t="shared" si="480"/>
        <v>65.78</v>
      </c>
      <c r="R221" s="3"/>
      <c r="S221" s="3">
        <v>59.19</v>
      </c>
      <c r="T221" s="3">
        <v>4.59</v>
      </c>
      <c r="U221" s="3"/>
      <c r="V221" s="3"/>
      <c r="W221" s="3">
        <v>5.91</v>
      </c>
      <c r="X221" s="3">
        <f t="shared" ref="X221" si="485">+S221+T221++U221+V221-W221</f>
        <v>57.870000000000005</v>
      </c>
      <c r="Y221" s="6">
        <f t="shared" ref="Y221" si="486">+Q221-X221</f>
        <v>7.9099999999999966</v>
      </c>
      <c r="Z221" s="2"/>
      <c r="AA221" s="2"/>
      <c r="AB221" s="2"/>
      <c r="AC221" s="3"/>
      <c r="AD221" s="2"/>
      <c r="AE221" s="2"/>
      <c r="AF221" s="2"/>
      <c r="AG221" s="2"/>
      <c r="AH221" s="2" t="s">
        <v>7367</v>
      </c>
      <c r="AI221" s="2" t="s">
        <v>7366</v>
      </c>
      <c r="AJ221" s="2"/>
      <c r="AK221" s="2"/>
      <c r="AL221" s="2" t="s">
        <v>7876</v>
      </c>
      <c r="AM221" s="22" t="s">
        <v>7875</v>
      </c>
      <c r="AN221" s="2"/>
      <c r="AO221" s="2" t="s">
        <v>7851</v>
      </c>
      <c r="AP221" s="2" t="s">
        <v>7215</v>
      </c>
      <c r="AQ221" s="2" t="s">
        <v>7368</v>
      </c>
      <c r="AR221" s="16" t="s">
        <v>7852</v>
      </c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</row>
    <row r="222" spans="3:58" ht="17.25" customHeight="1">
      <c r="C222" s="1">
        <v>44025</v>
      </c>
      <c r="E222" s="2" t="s">
        <v>7308</v>
      </c>
      <c r="F222" s="15"/>
      <c r="G222" s="2" t="s">
        <v>7361</v>
      </c>
      <c r="H222" s="2" t="s">
        <v>7533</v>
      </c>
      <c r="I222" s="2"/>
      <c r="J222" s="2">
        <v>1</v>
      </c>
      <c r="K222" s="2"/>
      <c r="L222" s="3">
        <v>23.15</v>
      </c>
      <c r="M222" s="3">
        <v>2.31</v>
      </c>
      <c r="N222" s="3">
        <v>1.36</v>
      </c>
      <c r="O222" s="3">
        <v>2.08</v>
      </c>
      <c r="P222" s="3">
        <f>2.08-2.08</f>
        <v>0</v>
      </c>
      <c r="Q222" s="6">
        <f t="shared" si="480"/>
        <v>19.48</v>
      </c>
      <c r="R222" s="3"/>
      <c r="S222" s="3">
        <v>12.97</v>
      </c>
      <c r="T222" s="3">
        <v>0.61</v>
      </c>
      <c r="U222" s="3"/>
      <c r="V222" s="3"/>
      <c r="W222" s="3">
        <v>0.65</v>
      </c>
      <c r="X222" s="3">
        <f t="shared" ref="X222:X223" si="487">+S222+T222++U222+V222-W222</f>
        <v>12.93</v>
      </c>
      <c r="Y222" s="6">
        <f t="shared" ref="Y222:Y223" si="488">+Q222-X222</f>
        <v>6.5500000000000007</v>
      </c>
      <c r="Z222" s="2"/>
      <c r="AA222" s="2"/>
      <c r="AB222" s="2"/>
      <c r="AC222" s="3"/>
      <c r="AD222" s="2"/>
      <c r="AE222" s="2"/>
      <c r="AF222" s="2"/>
      <c r="AG222" s="2"/>
      <c r="AH222" s="2" t="s">
        <v>7363</v>
      </c>
      <c r="AI222" s="2" t="s">
        <v>7362</v>
      </c>
      <c r="AJ222" s="2"/>
      <c r="AK222" s="2"/>
      <c r="AL222" s="2" t="s">
        <v>7538</v>
      </c>
      <c r="AM222" s="16" t="s">
        <v>7736</v>
      </c>
      <c r="AN222" s="2"/>
      <c r="AO222" s="2" t="s">
        <v>7534</v>
      </c>
      <c r="AP222" s="2" t="s">
        <v>6929</v>
      </c>
      <c r="AQ222" s="2" t="s">
        <v>7286</v>
      </c>
      <c r="AR222" s="5" t="s">
        <v>7535</v>
      </c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</row>
    <row r="223" spans="3:58" ht="17.25" customHeight="1">
      <c r="C223" s="1">
        <v>44025</v>
      </c>
      <c r="E223" s="2" t="s">
        <v>7340</v>
      </c>
      <c r="F223" s="15"/>
      <c r="G223" s="2" t="s">
        <v>7358</v>
      </c>
      <c r="H223" s="2" t="s">
        <v>7357</v>
      </c>
      <c r="I223" s="2"/>
      <c r="J223" s="2">
        <v>1</v>
      </c>
      <c r="K223" s="2"/>
      <c r="L223" s="3">
        <v>84.5</v>
      </c>
      <c r="M223" s="3">
        <v>8.4499999999999993</v>
      </c>
      <c r="N223" s="3">
        <v>4.32</v>
      </c>
      <c r="O223" s="3">
        <v>6.76</v>
      </c>
      <c r="P223" s="3">
        <f>6.76-6.76</f>
        <v>0</v>
      </c>
      <c r="Q223" s="6">
        <f t="shared" si="480"/>
        <v>71.72999999999999</v>
      </c>
      <c r="R223" s="3"/>
      <c r="S223" s="3">
        <v>65.19</v>
      </c>
      <c r="T223" s="3">
        <v>6.52</v>
      </c>
      <c r="U223" s="3"/>
      <c r="V223" s="3"/>
      <c r="W223" s="3">
        <f>6.51+0.53</f>
        <v>7.04</v>
      </c>
      <c r="X223" s="2">
        <f t="shared" si="487"/>
        <v>64.669999999999987</v>
      </c>
      <c r="Y223" s="6">
        <f t="shared" si="488"/>
        <v>7.0600000000000023</v>
      </c>
      <c r="Z223" s="2"/>
      <c r="AA223" s="2"/>
      <c r="AB223" s="2"/>
      <c r="AC223" s="3"/>
      <c r="AD223" s="2"/>
      <c r="AE223" s="2"/>
      <c r="AF223" s="2"/>
      <c r="AG223" s="2"/>
      <c r="AH223" s="2" t="s">
        <v>7360</v>
      </c>
      <c r="AI223" s="2" t="s">
        <v>7359</v>
      </c>
      <c r="AJ223" s="2"/>
      <c r="AK223" s="2"/>
      <c r="AL223" s="2" t="s">
        <v>2926</v>
      </c>
      <c r="AM223" s="16" t="s">
        <v>7836</v>
      </c>
      <c r="AN223" s="2"/>
      <c r="AO223" s="2" t="s">
        <v>7788</v>
      </c>
      <c r="AP223" s="2" t="s">
        <v>7215</v>
      </c>
      <c r="AQ223" s="2" t="s">
        <v>6947</v>
      </c>
      <c r="AR223" s="2" t="s">
        <v>7958</v>
      </c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</row>
    <row r="224" spans="3:58" ht="17.25" customHeight="1">
      <c r="C224" s="1">
        <v>44025</v>
      </c>
      <c r="E224" s="2" t="s">
        <v>7341</v>
      </c>
      <c r="F224" s="15"/>
      <c r="G224" s="2" t="s">
        <v>7354</v>
      </c>
      <c r="H224" s="2" t="s">
        <v>7353</v>
      </c>
      <c r="I224" s="2"/>
      <c r="J224" s="2">
        <v>1</v>
      </c>
      <c r="K224" s="2"/>
      <c r="L224" s="3">
        <v>84.5</v>
      </c>
      <c r="M224" s="3">
        <v>8.4499999999999993</v>
      </c>
      <c r="N224" s="3">
        <v>4.32</v>
      </c>
      <c r="O224" s="3">
        <v>6.76</v>
      </c>
      <c r="P224" s="3">
        <f>6.76-6.76</f>
        <v>0</v>
      </c>
      <c r="Q224" s="6">
        <f t="shared" ref="Q224" si="489">+L224-M224-N224+P224</f>
        <v>71.72999999999999</v>
      </c>
      <c r="R224" s="3"/>
      <c r="S224" s="3">
        <v>65.19</v>
      </c>
      <c r="T224" s="3">
        <v>5.22</v>
      </c>
      <c r="U224" s="3"/>
      <c r="V224" s="3"/>
      <c r="W224" s="3">
        <f>6.51+0.53</f>
        <v>7.04</v>
      </c>
      <c r="X224" s="2">
        <f t="shared" ref="X224:X225" si="490">+S224+T224++U224+V224-W224</f>
        <v>63.37</v>
      </c>
      <c r="Y224" s="6">
        <f t="shared" ref="Y224" si="491">+Q224-X224</f>
        <v>8.3599999999999923</v>
      </c>
      <c r="Z224" s="2"/>
      <c r="AA224" s="2"/>
      <c r="AB224" s="2"/>
      <c r="AC224" s="3"/>
      <c r="AD224" s="2"/>
      <c r="AE224" s="2"/>
      <c r="AF224" s="2"/>
      <c r="AG224" s="2"/>
      <c r="AH224" s="2" t="s">
        <v>7356</v>
      </c>
      <c r="AI224" s="2" t="s">
        <v>7355</v>
      </c>
      <c r="AJ224" s="2"/>
      <c r="AK224" s="2"/>
      <c r="AL224" s="2" t="s">
        <v>2926</v>
      </c>
      <c r="AM224" s="16" t="s">
        <v>7835</v>
      </c>
      <c r="AN224" s="2"/>
      <c r="AO224" s="2" t="s">
        <v>7787</v>
      </c>
      <c r="AP224" s="2" t="s">
        <v>7215</v>
      </c>
      <c r="AQ224" s="2" t="s">
        <v>6910</v>
      </c>
      <c r="AR224" s="2" t="s">
        <v>7958</v>
      </c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</row>
    <row r="225" spans="3:58" ht="17.25" customHeight="1">
      <c r="C225" s="1">
        <v>44025</v>
      </c>
      <c r="E225" s="2" t="s">
        <v>7348</v>
      </c>
      <c r="F225" s="15"/>
      <c r="G225" s="2" t="s">
        <v>7349</v>
      </c>
      <c r="H225" s="2" t="s">
        <v>7347</v>
      </c>
      <c r="I225" s="2"/>
      <c r="J225" s="2">
        <v>1</v>
      </c>
      <c r="K225" s="2"/>
      <c r="L225" s="3">
        <v>17</v>
      </c>
      <c r="M225" s="3">
        <v>1.7</v>
      </c>
      <c r="N225" s="3">
        <v>1.0900000000000001</v>
      </c>
      <c r="O225" s="3">
        <v>1.02</v>
      </c>
      <c r="P225" s="3">
        <f>1.02-1.02</f>
        <v>0</v>
      </c>
      <c r="Q225" s="6">
        <f t="shared" ref="Q225" si="492">+L225-M225-N225+P225</f>
        <v>14.21</v>
      </c>
      <c r="R225" s="3"/>
      <c r="S225" s="3">
        <v>7.99</v>
      </c>
      <c r="T225" s="3">
        <v>0.48</v>
      </c>
      <c r="U225" s="3">
        <v>0</v>
      </c>
      <c r="V225" s="3"/>
      <c r="W225" s="3">
        <v>0.4</v>
      </c>
      <c r="X225" s="2">
        <f t="shared" si="490"/>
        <v>8.07</v>
      </c>
      <c r="Y225" s="6">
        <f t="shared" ref="Y225" si="493">+Q225-X225</f>
        <v>6.1400000000000006</v>
      </c>
      <c r="Z225" s="2"/>
      <c r="AA225" s="2"/>
      <c r="AB225" s="2"/>
      <c r="AC225" s="3"/>
      <c r="AD225" s="2"/>
      <c r="AE225" s="2"/>
      <c r="AF225" s="2"/>
      <c r="AG225" s="2"/>
      <c r="AH225" s="2" t="s">
        <v>7351</v>
      </c>
      <c r="AI225" s="2" t="s">
        <v>7350</v>
      </c>
      <c r="AJ225" s="2"/>
      <c r="AK225" s="2"/>
      <c r="AL225" s="2" t="s">
        <v>7538</v>
      </c>
      <c r="AM225" s="16" t="s">
        <v>7737</v>
      </c>
      <c r="AN225" s="2"/>
      <c r="AO225" s="2" t="s">
        <v>7693</v>
      </c>
      <c r="AP225" s="2" t="s">
        <v>6929</v>
      </c>
      <c r="AQ225" s="2" t="s">
        <v>7352</v>
      </c>
      <c r="AR225" s="16" t="s">
        <v>7671</v>
      </c>
      <c r="AS225" s="5" t="s">
        <v>7828</v>
      </c>
      <c r="AT225" s="2" t="s">
        <v>7965</v>
      </c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</row>
    <row r="226" spans="3:58" ht="17.25" customHeight="1">
      <c r="C226" s="1">
        <v>44025</v>
      </c>
      <c r="E226" s="2" t="s">
        <v>6899</v>
      </c>
      <c r="F226" s="15"/>
      <c r="G226" s="2" t="s">
        <v>7344</v>
      </c>
      <c r="H226" s="2" t="s">
        <v>7343</v>
      </c>
      <c r="I226" s="2"/>
      <c r="J226" s="2">
        <v>1</v>
      </c>
      <c r="K226" s="2"/>
      <c r="L226" s="3">
        <v>72.5</v>
      </c>
      <c r="M226" s="3">
        <v>7.25</v>
      </c>
      <c r="N226" s="3">
        <v>3.75</v>
      </c>
      <c r="O226" s="3">
        <v>5.98</v>
      </c>
      <c r="P226" s="3">
        <f>5.98-5.98</f>
        <v>0</v>
      </c>
      <c r="Q226" s="6">
        <f t="shared" ref="Q226" si="494">+L226-M226-N226+P226</f>
        <v>61.5</v>
      </c>
      <c r="R226" s="3"/>
      <c r="S226" s="3">
        <v>46.99</v>
      </c>
      <c r="T226" s="3"/>
      <c r="U226" s="3">
        <v>4.99</v>
      </c>
      <c r="V226" s="3"/>
      <c r="W226" s="3">
        <v>4.6900000000000004</v>
      </c>
      <c r="X226" s="2">
        <f t="shared" ref="X226" si="495">+S226+T226++U226+V226-W226</f>
        <v>47.290000000000006</v>
      </c>
      <c r="Y226" s="6">
        <f t="shared" ref="Y226" si="496">+Q226-X226</f>
        <v>14.209999999999994</v>
      </c>
      <c r="Z226" s="2"/>
      <c r="AA226" s="2"/>
      <c r="AB226" s="2"/>
      <c r="AC226" s="3"/>
      <c r="AD226" s="2"/>
      <c r="AE226" s="2"/>
      <c r="AF226" s="2"/>
      <c r="AG226" s="2"/>
      <c r="AH226" s="2" t="s">
        <v>7346</v>
      </c>
      <c r="AI226" s="2" t="s">
        <v>7345</v>
      </c>
      <c r="AJ226" s="2"/>
      <c r="AK226" s="2"/>
      <c r="AL226" s="2" t="s">
        <v>7873</v>
      </c>
      <c r="AM226" s="16" t="s">
        <v>7948</v>
      </c>
      <c r="AN226" s="2"/>
      <c r="AO226" s="2" t="s">
        <v>7686</v>
      </c>
      <c r="AP226" s="2" t="s">
        <v>6912</v>
      </c>
      <c r="AQ226" s="2" t="s">
        <v>6905</v>
      </c>
      <c r="AR226" s="16" t="s">
        <v>7883</v>
      </c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</row>
    <row r="227" spans="3:58" ht="17.25" customHeight="1">
      <c r="C227" s="1">
        <v>44025</v>
      </c>
      <c r="E227" s="2" t="s">
        <v>7284</v>
      </c>
      <c r="F227" s="15"/>
      <c r="G227" s="2" t="s">
        <v>7331</v>
      </c>
      <c r="H227" s="2" t="s">
        <v>7330</v>
      </c>
      <c r="I227" s="2"/>
      <c r="J227" s="2">
        <v>1</v>
      </c>
      <c r="K227" s="2"/>
      <c r="L227" s="3">
        <v>69.7</v>
      </c>
      <c r="M227" s="3">
        <v>6.97</v>
      </c>
      <c r="N227" s="3">
        <v>3.55</v>
      </c>
      <c r="O227" s="3">
        <v>4.18</v>
      </c>
      <c r="P227" s="3">
        <f>4.18-4.18</f>
        <v>0</v>
      </c>
      <c r="Q227" s="6">
        <f t="shared" ref="Q227:Q228" si="497">+L227-M227-N227+P227</f>
        <v>59.180000000000007</v>
      </c>
      <c r="R227" s="3"/>
      <c r="S227" s="3">
        <v>37.979999999999997</v>
      </c>
      <c r="T227" s="3">
        <v>2.2799999999999998</v>
      </c>
      <c r="U227" s="3"/>
      <c r="V227" s="3"/>
      <c r="W227" s="3"/>
      <c r="X227" s="2">
        <f t="shared" ref="X227:X228" si="498">+S227+T227++U227+V227-W227</f>
        <v>40.26</v>
      </c>
      <c r="Y227" s="6">
        <f t="shared" ref="Y227:Y228" si="499">+Q227-X227</f>
        <v>18.920000000000009</v>
      </c>
      <c r="Z227" s="2"/>
      <c r="AA227" s="2"/>
      <c r="AB227" s="2"/>
      <c r="AC227" s="3"/>
      <c r="AD227" s="2"/>
      <c r="AE227" s="2"/>
      <c r="AF227" s="2"/>
      <c r="AG227" s="2"/>
      <c r="AH227" s="2" t="s">
        <v>7333</v>
      </c>
      <c r="AI227" s="2" t="s">
        <v>7332</v>
      </c>
      <c r="AJ227" s="2"/>
      <c r="AK227" s="2"/>
      <c r="AL227" s="2" t="s">
        <v>7538</v>
      </c>
      <c r="AM227" s="16" t="s">
        <v>7663</v>
      </c>
      <c r="AN227" s="2"/>
      <c r="AO227" s="2" t="s">
        <v>7584</v>
      </c>
      <c r="AP227" s="2" t="s">
        <v>6929</v>
      </c>
      <c r="AQ227" s="2" t="s">
        <v>7285</v>
      </c>
      <c r="AR227" s="16" t="s">
        <v>7532</v>
      </c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</row>
    <row r="228" spans="3:58" ht="17.25" customHeight="1">
      <c r="C228" s="1">
        <v>44025</v>
      </c>
      <c r="E228" s="2" t="s">
        <v>6899</v>
      </c>
      <c r="F228" s="15"/>
      <c r="G228" s="2" t="s">
        <v>7335</v>
      </c>
      <c r="H228" s="2" t="s">
        <v>7334</v>
      </c>
      <c r="I228" s="2"/>
      <c r="J228" s="2">
        <v>1</v>
      </c>
      <c r="K228" s="2"/>
      <c r="L228" s="3">
        <v>72.5</v>
      </c>
      <c r="M228" s="3">
        <v>7.25</v>
      </c>
      <c r="N228" s="3">
        <v>3.76</v>
      </c>
      <c r="O228" s="3">
        <v>0</v>
      </c>
      <c r="P228" s="3">
        <v>6.24</v>
      </c>
      <c r="Q228" s="6">
        <f t="shared" si="497"/>
        <v>67.73</v>
      </c>
      <c r="R228" s="3"/>
      <c r="S228" s="3">
        <v>46.99</v>
      </c>
      <c r="T228" s="3"/>
      <c r="U228" s="3">
        <v>4.99</v>
      </c>
      <c r="V228" s="3"/>
      <c r="W228" s="3">
        <v>4.6900000000000004</v>
      </c>
      <c r="X228" s="2">
        <f t="shared" si="498"/>
        <v>47.290000000000006</v>
      </c>
      <c r="Y228" s="6">
        <f t="shared" si="499"/>
        <v>20.439999999999998</v>
      </c>
      <c r="Z228" s="6">
        <f>SUM(Y219:Y228)</f>
        <v>94.96</v>
      </c>
      <c r="AA228" s="34">
        <f>SUM(J219:J228)</f>
        <v>10</v>
      </c>
      <c r="AB228" s="2"/>
      <c r="AC228" s="3"/>
      <c r="AD228" s="2"/>
      <c r="AE228" s="2"/>
      <c r="AF228" s="2"/>
      <c r="AG228" s="2"/>
      <c r="AH228" s="2" t="s">
        <v>7337</v>
      </c>
      <c r="AI228" s="2" t="s">
        <v>7336</v>
      </c>
      <c r="AJ228" s="2"/>
      <c r="AK228" s="2"/>
      <c r="AL228" s="2" t="s">
        <v>7538</v>
      </c>
      <c r="AM228" s="16" t="s">
        <v>7688</v>
      </c>
      <c r="AN228" s="2"/>
      <c r="AO228" s="2" t="s">
        <v>7492</v>
      </c>
      <c r="AP228" s="2" t="s">
        <v>6912</v>
      </c>
      <c r="AQ228" s="2" t="s">
        <v>6905</v>
      </c>
      <c r="AR228" s="16" t="s">
        <v>7879</v>
      </c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</row>
    <row r="229" spans="3:58" ht="17.25" customHeight="1">
      <c r="C229" s="1">
        <v>44024</v>
      </c>
      <c r="E229" s="2" t="s">
        <v>7160</v>
      </c>
      <c r="F229" s="15"/>
      <c r="G229" s="2" t="s">
        <v>7322</v>
      </c>
      <c r="H229" s="2" t="s">
        <v>7321</v>
      </c>
      <c r="I229" s="2"/>
      <c r="J229" s="2">
        <v>1</v>
      </c>
      <c r="K229" s="2"/>
      <c r="L229" s="3">
        <v>39.5</v>
      </c>
      <c r="M229" s="3">
        <v>3.95</v>
      </c>
      <c r="N229" s="3">
        <v>2.1800000000000002</v>
      </c>
      <c r="O229" s="3">
        <v>3.35</v>
      </c>
      <c r="P229" s="3">
        <f>3.35-3.35</f>
        <v>0</v>
      </c>
      <c r="Q229" s="6">
        <f t="shared" ref="Q229" si="500">+L229-M229-N229+P229</f>
        <v>33.369999999999997</v>
      </c>
      <c r="R229" s="3"/>
      <c r="S229" s="3">
        <v>23.99</v>
      </c>
      <c r="T229" s="3">
        <v>1.98</v>
      </c>
      <c r="U229" s="3">
        <v>0</v>
      </c>
      <c r="V229" s="3"/>
      <c r="W229" s="3">
        <v>0</v>
      </c>
      <c r="X229" s="2">
        <f t="shared" ref="X229" si="501">+S229+T229++U229+V229-W229</f>
        <v>25.97</v>
      </c>
      <c r="Y229" s="6">
        <f t="shared" ref="Y229" si="502">+Q229-X229</f>
        <v>7.3999999999999986</v>
      </c>
      <c r="Z229" s="2"/>
      <c r="AA229" s="2"/>
      <c r="AB229" s="2"/>
      <c r="AC229" s="3"/>
      <c r="AD229" s="2"/>
      <c r="AE229" s="2"/>
      <c r="AF229" s="2"/>
      <c r="AG229" s="2"/>
      <c r="AH229" s="2" t="s">
        <v>7324</v>
      </c>
      <c r="AI229" s="2" t="s">
        <v>7323</v>
      </c>
      <c r="AJ229" s="2"/>
      <c r="AK229" s="2"/>
      <c r="AL229" s="2" t="s">
        <v>7538</v>
      </c>
      <c r="AM229" s="16" t="s">
        <v>7660</v>
      </c>
      <c r="AN229" s="2"/>
      <c r="AO229" s="10" t="s">
        <v>7546</v>
      </c>
      <c r="AP229" s="2" t="s">
        <v>6931</v>
      </c>
      <c r="AQ229" s="2" t="s">
        <v>7174</v>
      </c>
      <c r="AR229" s="16" t="s">
        <v>7547</v>
      </c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</row>
    <row r="230" spans="3:58" ht="17.25" customHeight="1">
      <c r="C230" s="1">
        <v>44024</v>
      </c>
      <c r="E230" s="2" t="s">
        <v>7308</v>
      </c>
      <c r="F230" s="15"/>
      <c r="G230" s="2" t="s">
        <v>7314</v>
      </c>
      <c r="H230" s="2" t="s">
        <v>7313</v>
      </c>
      <c r="I230" s="2"/>
      <c r="J230" s="2">
        <v>1</v>
      </c>
      <c r="K230" s="2"/>
      <c r="L230" s="3">
        <v>23.15</v>
      </c>
      <c r="M230" s="3">
        <v>2.31</v>
      </c>
      <c r="N230" s="3">
        <v>1.41</v>
      </c>
      <c r="O230" s="3">
        <v>2.08</v>
      </c>
      <c r="P230" s="3">
        <f>2.08-2.08</f>
        <v>0</v>
      </c>
      <c r="Q230" s="6">
        <f t="shared" ref="Q230:Q231" si="503">+L230-M230-N230+P230</f>
        <v>19.43</v>
      </c>
      <c r="R230" s="3"/>
      <c r="S230" s="3">
        <v>12.97</v>
      </c>
      <c r="T230" s="3">
        <v>1.17</v>
      </c>
      <c r="U230" s="3"/>
      <c r="V230" s="3"/>
      <c r="W230" s="3">
        <v>0.65</v>
      </c>
      <c r="X230" s="3">
        <f t="shared" ref="X230:X231" si="504">+S230+T230++U230+V230-W230</f>
        <v>13.49</v>
      </c>
      <c r="Y230" s="6">
        <f t="shared" ref="Y230:Y231" si="505">+Q230-X230</f>
        <v>5.9399999999999995</v>
      </c>
      <c r="Z230" s="2"/>
      <c r="AA230" s="2"/>
      <c r="AB230" s="2"/>
      <c r="AC230" s="3"/>
      <c r="AD230" s="2"/>
      <c r="AE230" s="2"/>
      <c r="AF230" s="2"/>
      <c r="AG230" s="2"/>
      <c r="AH230" s="2" t="s">
        <v>7316</v>
      </c>
      <c r="AI230" s="2" t="s">
        <v>7315</v>
      </c>
      <c r="AJ230" s="2"/>
      <c r="AK230" s="2"/>
      <c r="AL230" s="2" t="s">
        <v>7605</v>
      </c>
      <c r="AM230" s="2" t="s">
        <v>7661</v>
      </c>
      <c r="AN230" s="2"/>
      <c r="AO230" s="2" t="s">
        <v>7531</v>
      </c>
      <c r="AP230" s="2" t="s">
        <v>6929</v>
      </c>
      <c r="AQ230" s="2" t="s">
        <v>7286</v>
      </c>
      <c r="AR230" s="16" t="s">
        <v>7597</v>
      </c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</row>
    <row r="231" spans="3:58" ht="17.25" customHeight="1">
      <c r="C231" s="1">
        <v>44024</v>
      </c>
      <c r="E231" s="2" t="s">
        <v>7284</v>
      </c>
      <c r="F231" s="15"/>
      <c r="G231" s="2" t="s">
        <v>7318</v>
      </c>
      <c r="H231" s="2" t="s">
        <v>7317</v>
      </c>
      <c r="I231" s="2"/>
      <c r="J231" s="2">
        <v>1</v>
      </c>
      <c r="K231" s="2"/>
      <c r="L231" s="3">
        <v>34.85</v>
      </c>
      <c r="M231" s="3">
        <v>3.48</v>
      </c>
      <c r="N231" s="3">
        <v>1.94</v>
      </c>
      <c r="O231" s="3">
        <v>2.44</v>
      </c>
      <c r="P231" s="3">
        <f>2.44-2.44</f>
        <v>0</v>
      </c>
      <c r="Q231" s="6">
        <f t="shared" si="503"/>
        <v>29.43</v>
      </c>
      <c r="R231" s="3"/>
      <c r="S231" s="3">
        <v>17.670000000000002</v>
      </c>
      <c r="T231" s="3">
        <v>1.24</v>
      </c>
      <c r="U231" s="3"/>
      <c r="V231" s="3"/>
      <c r="W231" s="3"/>
      <c r="X231" s="2">
        <f t="shared" si="504"/>
        <v>18.91</v>
      </c>
      <c r="Y231" s="6">
        <f t="shared" si="505"/>
        <v>10.52</v>
      </c>
      <c r="Z231" s="2"/>
      <c r="AA231" s="2"/>
      <c r="AB231" s="2"/>
      <c r="AC231" s="3"/>
      <c r="AD231" s="2"/>
      <c r="AE231" s="2"/>
      <c r="AF231" s="2"/>
      <c r="AG231" s="2"/>
      <c r="AH231" s="2" t="s">
        <v>7320</v>
      </c>
      <c r="AI231" s="2" t="s">
        <v>7319</v>
      </c>
      <c r="AJ231" s="2"/>
      <c r="AK231" s="2"/>
      <c r="AL231" s="2" t="s">
        <v>7607</v>
      </c>
      <c r="AM231" s="2" t="s">
        <v>7666</v>
      </c>
      <c r="AN231" s="2"/>
      <c r="AO231" s="2" t="s">
        <v>7489</v>
      </c>
      <c r="AP231" s="2" t="s">
        <v>6929</v>
      </c>
      <c r="AQ231" s="2" t="s">
        <v>7285</v>
      </c>
      <c r="AR231" s="16" t="s">
        <v>7488</v>
      </c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</row>
    <row r="232" spans="3:58" ht="17.25" customHeight="1">
      <c r="C232" s="1">
        <v>44024</v>
      </c>
      <c r="E232" s="2" t="s">
        <v>7308</v>
      </c>
      <c r="F232" s="15"/>
      <c r="G232" s="2" t="s">
        <v>7310</v>
      </c>
      <c r="H232" s="2" t="s">
        <v>7309</v>
      </c>
      <c r="I232" s="2"/>
      <c r="J232" s="2">
        <v>1</v>
      </c>
      <c r="K232" s="2"/>
      <c r="L232" s="3">
        <v>23.15</v>
      </c>
      <c r="M232" s="3">
        <v>2.31</v>
      </c>
      <c r="N232" s="3">
        <v>1.21</v>
      </c>
      <c r="O232" s="3">
        <v>1.54</v>
      </c>
      <c r="P232" s="3">
        <f>1.54-1.54</f>
        <v>0</v>
      </c>
      <c r="Q232" s="6">
        <f t="shared" ref="Q232:Q233" si="506">+L232-M232-N232+P232</f>
        <v>19.63</v>
      </c>
      <c r="R232" s="3"/>
      <c r="S232" s="3">
        <v>12.97</v>
      </c>
      <c r="T232" s="3">
        <v>0.86</v>
      </c>
      <c r="U232" s="3"/>
      <c r="V232" s="3"/>
      <c r="W232" s="3"/>
      <c r="X232" s="3">
        <f t="shared" ref="X232:X233" si="507">+S232+T232++U232+V232-W232</f>
        <v>13.83</v>
      </c>
      <c r="Y232" s="6">
        <f t="shared" ref="Y232:Y233" si="508">+Q232-X232</f>
        <v>5.7999999999999989</v>
      </c>
      <c r="Z232" s="2"/>
      <c r="AA232" s="2"/>
      <c r="AB232" s="2"/>
      <c r="AC232" s="3"/>
      <c r="AD232" s="2"/>
      <c r="AE232" s="2"/>
      <c r="AF232" s="2"/>
      <c r="AG232" s="2"/>
      <c r="AH232" s="2" t="s">
        <v>7312</v>
      </c>
      <c r="AI232" s="2" t="s">
        <v>7311</v>
      </c>
      <c r="AJ232" s="2"/>
      <c r="AK232" s="2"/>
      <c r="AL232" s="2" t="s">
        <v>7538</v>
      </c>
      <c r="AM232" s="16" t="s">
        <v>7537</v>
      </c>
      <c r="AN232" s="2"/>
      <c r="AO232" s="2" t="s">
        <v>7437</v>
      </c>
      <c r="AP232" s="2" t="s">
        <v>6929</v>
      </c>
      <c r="AQ232" s="2" t="s">
        <v>7286</v>
      </c>
      <c r="AR232" s="16" t="s">
        <v>7438</v>
      </c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</row>
    <row r="233" spans="3:58" ht="17.25" customHeight="1">
      <c r="C233" s="1">
        <v>44024</v>
      </c>
      <c r="E233" s="2" t="s">
        <v>7284</v>
      </c>
      <c r="F233" s="15"/>
      <c r="G233" s="2" t="s">
        <v>7310</v>
      </c>
      <c r="H233" s="2" t="s">
        <v>7309</v>
      </c>
      <c r="I233" s="2"/>
      <c r="J233" s="2">
        <v>1</v>
      </c>
      <c r="K233" s="2"/>
      <c r="L233" s="3">
        <v>34.85</v>
      </c>
      <c r="M233" s="3">
        <v>3.48</v>
      </c>
      <c r="N233" s="3">
        <v>1.81</v>
      </c>
      <c r="O233" s="3">
        <v>2.2999999999999998</v>
      </c>
      <c r="P233" s="3">
        <f>2.3-2.3</f>
        <v>0</v>
      </c>
      <c r="Q233" s="6">
        <f t="shared" si="506"/>
        <v>29.560000000000002</v>
      </c>
      <c r="R233" s="3"/>
      <c r="S233" s="3">
        <v>18.989999999999998</v>
      </c>
      <c r="T233" s="3">
        <v>1.26</v>
      </c>
      <c r="U233" s="3"/>
      <c r="V233" s="3"/>
      <c r="W233" s="3"/>
      <c r="X233" s="2">
        <f t="shared" si="507"/>
        <v>20.25</v>
      </c>
      <c r="Y233" s="6">
        <f t="shared" si="508"/>
        <v>9.3100000000000023</v>
      </c>
      <c r="Z233" s="2"/>
      <c r="AA233" s="2"/>
      <c r="AB233" s="2"/>
      <c r="AC233" s="3"/>
      <c r="AD233" s="2"/>
      <c r="AE233" s="2"/>
      <c r="AF233" s="2"/>
      <c r="AG233" s="2"/>
      <c r="AH233" s="2" t="s">
        <v>7312</v>
      </c>
      <c r="AI233" s="2" t="s">
        <v>7311</v>
      </c>
      <c r="AJ233" s="2"/>
      <c r="AK233" s="2"/>
      <c r="AL233" s="2" t="s">
        <v>7538</v>
      </c>
      <c r="AM233" s="16" t="s">
        <v>7537</v>
      </c>
      <c r="AN233" s="2"/>
      <c r="AO233" s="2" t="s">
        <v>7437</v>
      </c>
      <c r="AP233" s="2" t="s">
        <v>6929</v>
      </c>
      <c r="AQ233" s="2" t="s">
        <v>7285</v>
      </c>
      <c r="AR233" s="16" t="s">
        <v>7438</v>
      </c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</row>
    <row r="234" spans="3:58" ht="17.25" customHeight="1">
      <c r="C234" s="1">
        <v>44024</v>
      </c>
      <c r="E234" s="2" t="s">
        <v>7283</v>
      </c>
      <c r="F234" s="15"/>
      <c r="G234" s="2" t="s">
        <v>7896</v>
      </c>
      <c r="H234" s="2" t="s">
        <v>7305</v>
      </c>
      <c r="I234" s="2"/>
      <c r="J234" s="2">
        <v>1</v>
      </c>
      <c r="K234" s="2"/>
      <c r="L234" s="3">
        <v>22.5</v>
      </c>
      <c r="M234" s="3">
        <v>2.25</v>
      </c>
      <c r="N234" s="3">
        <v>1.38</v>
      </c>
      <c r="O234" s="3"/>
      <c r="P234" s="3">
        <v>2.0299999999999998</v>
      </c>
      <c r="Q234" s="6">
        <f t="shared" ref="Q234:Q235" si="509">+L234-M234-N234+P234</f>
        <v>20.900000000000002</v>
      </c>
      <c r="R234" s="3"/>
      <c r="S234" s="3">
        <v>14.99</v>
      </c>
      <c r="T234" s="3">
        <v>0</v>
      </c>
      <c r="U234" s="3"/>
      <c r="V234" s="3"/>
      <c r="W234" s="3"/>
      <c r="X234" s="2">
        <f t="shared" ref="X234" si="510">+S234+T234++U234+V234-W234</f>
        <v>14.99</v>
      </c>
      <c r="Y234" s="6">
        <f t="shared" ref="Y234" si="511">+Q234-X234</f>
        <v>5.9100000000000019</v>
      </c>
      <c r="Z234" s="2"/>
      <c r="AA234" s="2"/>
      <c r="AB234" s="2"/>
      <c r="AC234" s="3"/>
      <c r="AD234" s="2"/>
      <c r="AE234" s="2"/>
      <c r="AF234" s="2"/>
      <c r="AG234" s="2"/>
      <c r="AH234" s="2" t="s">
        <v>7307</v>
      </c>
      <c r="AI234" s="2" t="s">
        <v>7306</v>
      </c>
      <c r="AJ234" s="2"/>
      <c r="AK234" s="2"/>
      <c r="AL234" s="2" t="s">
        <v>7538</v>
      </c>
      <c r="AM234" s="16" t="s">
        <v>7695</v>
      </c>
      <c r="AN234" s="2"/>
      <c r="AO234" s="2" t="s">
        <v>7436</v>
      </c>
      <c r="AP234" s="2" t="s">
        <v>5492</v>
      </c>
      <c r="AQ234" s="2" t="s">
        <v>7287</v>
      </c>
      <c r="AR234" s="16" t="s">
        <v>7435</v>
      </c>
      <c r="AS234" s="2" t="s">
        <v>7895</v>
      </c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</row>
    <row r="235" spans="3:58" ht="17.25" customHeight="1">
      <c r="C235" s="1">
        <v>44024</v>
      </c>
      <c r="E235" s="2" t="s">
        <v>7161</v>
      </c>
      <c r="F235" s="15"/>
      <c r="G235" s="2" t="s">
        <v>7302</v>
      </c>
      <c r="H235" s="2" t="s">
        <v>7301</v>
      </c>
      <c r="I235" s="2"/>
      <c r="J235" s="2">
        <v>1</v>
      </c>
      <c r="K235" s="2"/>
      <c r="L235" s="3">
        <v>41.95</v>
      </c>
      <c r="M235" s="3">
        <v>4.1900000000000004</v>
      </c>
      <c r="N235" s="3">
        <v>2.2599999999999998</v>
      </c>
      <c r="O235" s="3">
        <v>2.62</v>
      </c>
      <c r="P235" s="3">
        <f>2.62-2.62</f>
        <v>0</v>
      </c>
      <c r="Q235" s="6">
        <f t="shared" si="509"/>
        <v>35.500000000000007</v>
      </c>
      <c r="R235" s="3"/>
      <c r="S235" s="3">
        <v>28.79</v>
      </c>
      <c r="T235" s="3">
        <v>1.8</v>
      </c>
      <c r="U235" s="3"/>
      <c r="V235" s="3"/>
      <c r="W235" s="3"/>
      <c r="X235" s="2">
        <f t="shared" ref="X235" si="512">+S235+T235++U235+V235-W235</f>
        <v>30.59</v>
      </c>
      <c r="Y235" s="6">
        <f t="shared" ref="Y235" si="513">+Q235-X235</f>
        <v>4.9100000000000072</v>
      </c>
      <c r="Z235" s="6" t="s">
        <v>6707</v>
      </c>
      <c r="AA235" s="2"/>
      <c r="AB235" s="2"/>
      <c r="AC235" s="3"/>
      <c r="AD235" s="2"/>
      <c r="AE235" s="2"/>
      <c r="AF235" s="2"/>
      <c r="AG235" s="2"/>
      <c r="AH235" s="2" t="s">
        <v>7304</v>
      </c>
      <c r="AI235" s="2" t="s">
        <v>7303</v>
      </c>
      <c r="AJ235" s="2"/>
      <c r="AK235" s="2"/>
      <c r="AL235" s="2" t="s">
        <v>6728</v>
      </c>
      <c r="AM235" s="22" t="s">
        <v>7440</v>
      </c>
      <c r="AN235" s="2"/>
      <c r="AO235" s="2" t="s">
        <v>7389</v>
      </c>
      <c r="AP235" s="2" t="s">
        <v>6929</v>
      </c>
      <c r="AQ235" s="2" t="s">
        <v>7161</v>
      </c>
      <c r="AR235" s="16" t="s">
        <v>7192</v>
      </c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</row>
    <row r="236" spans="3:58" ht="17.25" customHeight="1">
      <c r="C236" s="1">
        <v>44024</v>
      </c>
      <c r="E236" s="2" t="s">
        <v>7282</v>
      </c>
      <c r="F236" s="15"/>
      <c r="G236" s="2" t="s">
        <v>7298</v>
      </c>
      <c r="H236" s="2" t="s">
        <v>7297</v>
      </c>
      <c r="I236" s="2"/>
      <c r="J236" s="2">
        <v>1</v>
      </c>
      <c r="K236" s="2"/>
      <c r="L236" s="3">
        <v>84.5</v>
      </c>
      <c r="M236" s="3">
        <v>8.4499999999999993</v>
      </c>
      <c r="N236" s="3">
        <v>4.3899999999999997</v>
      </c>
      <c r="O236" s="3">
        <v>8.4499999999999993</v>
      </c>
      <c r="P236" s="3">
        <f>8.45-8.45</f>
        <v>0</v>
      </c>
      <c r="Q236" s="6">
        <f t="shared" ref="Q236" si="514">+L236-M236-N236+P236</f>
        <v>71.66</v>
      </c>
      <c r="R236" s="3"/>
      <c r="S236" s="3">
        <v>65.19</v>
      </c>
      <c r="T236" s="3">
        <v>6.52</v>
      </c>
      <c r="U236" s="3"/>
      <c r="V236" s="3"/>
      <c r="W236" s="3">
        <f>6.51+0.65</f>
        <v>7.16</v>
      </c>
      <c r="X236" s="2">
        <f t="shared" ref="X236" si="515">+S236+T236++U236+V236-W236</f>
        <v>64.55</v>
      </c>
      <c r="Y236" s="6">
        <f t="shared" ref="Y236" si="516">+Q236-X236</f>
        <v>7.1099999999999994</v>
      </c>
      <c r="Z236" s="6">
        <f>SUM(Y229:Y236)</f>
        <v>56.900000000000006</v>
      </c>
      <c r="AA236" s="34">
        <f>SUM(J229:J236)</f>
        <v>8</v>
      </c>
      <c r="AB236" s="2"/>
      <c r="AC236" s="3"/>
      <c r="AD236" s="2"/>
      <c r="AE236" s="2"/>
      <c r="AF236" s="2"/>
      <c r="AG236" s="2"/>
      <c r="AH236" s="2" t="s">
        <v>7300</v>
      </c>
      <c r="AI236" s="2" t="s">
        <v>7299</v>
      </c>
      <c r="AJ236" s="2"/>
      <c r="AK236" s="2"/>
      <c r="AL236" s="2" t="s">
        <v>7876</v>
      </c>
      <c r="AM236" s="16" t="s">
        <v>7960</v>
      </c>
      <c r="AN236" s="2"/>
      <c r="AO236" s="2" t="s">
        <v>7743</v>
      </c>
      <c r="AP236" s="2" t="s">
        <v>7215</v>
      </c>
      <c r="AQ236" s="2" t="s">
        <v>7288</v>
      </c>
      <c r="AR236" s="16" t="s">
        <v>7959</v>
      </c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</row>
    <row r="237" spans="3:58" ht="17.25" customHeight="1">
      <c r="C237" s="1">
        <v>44023</v>
      </c>
      <c r="E237" s="2" t="s">
        <v>7281</v>
      </c>
      <c r="F237" s="15"/>
      <c r="G237" s="2" t="s">
        <v>7294</v>
      </c>
      <c r="H237" s="2" t="s">
        <v>7293</v>
      </c>
      <c r="I237" s="2"/>
      <c r="J237" s="2">
        <v>1</v>
      </c>
      <c r="K237" s="2"/>
      <c r="L237" s="3">
        <v>84.5</v>
      </c>
      <c r="M237" s="3">
        <v>8.4499999999999993</v>
      </c>
      <c r="N237" s="3">
        <v>4.25</v>
      </c>
      <c r="O237" s="3">
        <v>5.28</v>
      </c>
      <c r="P237" s="3">
        <f>5.28-5.28</f>
        <v>0</v>
      </c>
      <c r="Q237" s="6">
        <f t="shared" ref="Q237" si="517">+L237-M237-N237+P237</f>
        <v>71.8</v>
      </c>
      <c r="R237" s="3"/>
      <c r="S237" s="3">
        <v>65.19</v>
      </c>
      <c r="T237" s="3">
        <v>4.07</v>
      </c>
      <c r="U237" s="3"/>
      <c r="V237" s="3"/>
      <c r="W237" s="3">
        <f>6.51+0.4</f>
        <v>6.91</v>
      </c>
      <c r="X237" s="2">
        <f t="shared" ref="X237" si="518">+S237+T237++U237+V237-W237</f>
        <v>62.349999999999994</v>
      </c>
      <c r="Y237" s="6">
        <f t="shared" ref="Y237" si="519">+Q237-X237</f>
        <v>9.4500000000000028</v>
      </c>
      <c r="Z237" s="2"/>
      <c r="AA237" s="2"/>
      <c r="AB237" s="2"/>
      <c r="AC237" s="3"/>
      <c r="AD237" s="2"/>
      <c r="AE237" s="2"/>
      <c r="AF237" s="2"/>
      <c r="AG237" s="2"/>
      <c r="AH237" s="2" t="s">
        <v>7296</v>
      </c>
      <c r="AI237" s="2" t="s">
        <v>7295</v>
      </c>
      <c r="AJ237" s="2"/>
      <c r="AK237" s="2"/>
      <c r="AL237" s="2" t="s">
        <v>6728</v>
      </c>
      <c r="AM237" s="16" t="s">
        <v>7553</v>
      </c>
      <c r="AN237" s="2"/>
      <c r="AO237" s="2" t="s">
        <v>7503</v>
      </c>
      <c r="AP237" s="2" t="s">
        <v>7215</v>
      </c>
      <c r="AQ237" s="2" t="s">
        <v>7107</v>
      </c>
      <c r="AR237" s="16" t="s">
        <v>7491</v>
      </c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</row>
    <row r="238" spans="3:58" ht="17.25" customHeight="1">
      <c r="C238" s="1">
        <v>44023</v>
      </c>
      <c r="E238" s="2" t="s">
        <v>7278</v>
      </c>
      <c r="F238" s="15"/>
      <c r="G238" s="2" t="s">
        <v>7290</v>
      </c>
      <c r="H238" s="2" t="s">
        <v>7289</v>
      </c>
      <c r="I238" s="2"/>
      <c r="J238" s="2">
        <v>1</v>
      </c>
      <c r="K238" s="2"/>
      <c r="L238" s="3">
        <v>84.5</v>
      </c>
      <c r="M238" s="3">
        <v>8.4499999999999993</v>
      </c>
      <c r="N238" s="3">
        <v>4.32</v>
      </c>
      <c r="O238" s="3">
        <v>6.76</v>
      </c>
      <c r="P238" s="3">
        <f>6.76-6.76</f>
        <v>0</v>
      </c>
      <c r="Q238" s="6">
        <f t="shared" ref="Q238:Q239" si="520">+L238-M238-N238+P238</f>
        <v>71.72999999999999</v>
      </c>
      <c r="R238" s="3"/>
      <c r="S238" s="3">
        <v>65.19</v>
      </c>
      <c r="T238" s="3">
        <v>5.22</v>
      </c>
      <c r="U238" s="3"/>
      <c r="V238" s="3"/>
      <c r="W238" s="3">
        <f>6.51+0.53</f>
        <v>7.04</v>
      </c>
      <c r="X238" s="2">
        <f t="shared" ref="X238:X239" si="521">+S238+T238++U238+V238-W238</f>
        <v>63.37</v>
      </c>
      <c r="Y238" s="6">
        <f t="shared" ref="Y238:Y239" si="522">+Q238-X238</f>
        <v>8.3599999999999923</v>
      </c>
      <c r="Z238" s="2"/>
      <c r="AA238" s="2"/>
      <c r="AB238" s="2"/>
      <c r="AC238" s="3"/>
      <c r="AD238" s="2"/>
      <c r="AE238" s="2"/>
      <c r="AF238" s="2"/>
      <c r="AG238" s="2"/>
      <c r="AH238" s="2" t="s">
        <v>7292</v>
      </c>
      <c r="AI238" s="2" t="s">
        <v>7291</v>
      </c>
      <c r="AJ238" s="2"/>
      <c r="AK238" s="2"/>
      <c r="AL238" s="2" t="s">
        <v>6728</v>
      </c>
      <c r="AM238" s="16" t="s">
        <v>7554</v>
      </c>
      <c r="AN238" s="2"/>
      <c r="AO238" s="2" t="s">
        <v>7490</v>
      </c>
      <c r="AP238" s="2" t="s">
        <v>7215</v>
      </c>
      <c r="AQ238" s="2" t="s">
        <v>7110</v>
      </c>
      <c r="AR238" s="16" t="s">
        <v>7491</v>
      </c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</row>
    <row r="239" spans="3:58" ht="17.25" customHeight="1">
      <c r="C239" s="1">
        <v>44023</v>
      </c>
      <c r="E239" s="2" t="s">
        <v>7208</v>
      </c>
      <c r="F239" s="15"/>
      <c r="G239" s="2" t="s">
        <v>7376</v>
      </c>
      <c r="H239" s="2" t="s">
        <v>8268</v>
      </c>
      <c r="I239" s="2"/>
      <c r="J239" s="2">
        <v>1</v>
      </c>
      <c r="K239" s="2"/>
      <c r="L239" s="3">
        <v>19.5</v>
      </c>
      <c r="M239" s="3">
        <v>1.95</v>
      </c>
      <c r="N239" s="3">
        <v>1.1599999999999999</v>
      </c>
      <c r="O239" s="3">
        <v>0</v>
      </c>
      <c r="P239" s="3">
        <f>1.37-1.37</f>
        <v>0</v>
      </c>
      <c r="Q239" s="6">
        <f t="shared" si="520"/>
        <v>16.39</v>
      </c>
      <c r="R239" s="3"/>
      <c r="S239" s="3">
        <v>9.49</v>
      </c>
      <c r="T239" s="3">
        <v>1.0900000000000001</v>
      </c>
      <c r="U239" s="3"/>
      <c r="V239" s="3"/>
      <c r="W239" s="3">
        <v>0.47</v>
      </c>
      <c r="X239" s="2">
        <f t="shared" si="521"/>
        <v>10.11</v>
      </c>
      <c r="Y239" s="6">
        <f t="shared" si="522"/>
        <v>6.2800000000000011</v>
      </c>
      <c r="Z239" s="6">
        <f>SUM(Y237:Y239)</f>
        <v>24.089999999999996</v>
      </c>
      <c r="AA239" s="34">
        <f>SUM(J237:J239)</f>
        <v>3</v>
      </c>
      <c r="AB239" s="2"/>
      <c r="AC239" s="3"/>
      <c r="AD239" s="2"/>
      <c r="AE239" s="2"/>
      <c r="AF239" s="2"/>
      <c r="AG239" s="2"/>
      <c r="AH239" s="2" t="s">
        <v>7378</v>
      </c>
      <c r="AI239" s="2" t="s">
        <v>7377</v>
      </c>
      <c r="AJ239" s="2"/>
      <c r="AK239" s="2"/>
      <c r="AL239" s="2" t="s">
        <v>2926</v>
      </c>
      <c r="AM239" s="16" t="s">
        <v>8269</v>
      </c>
      <c r="AN239" s="2"/>
      <c r="AO239" s="2" t="s">
        <v>7383</v>
      </c>
      <c r="AP239" s="2" t="s">
        <v>6929</v>
      </c>
      <c r="AQ239" s="2" t="s">
        <v>6798</v>
      </c>
      <c r="AR239" s="16" t="s">
        <v>7382</v>
      </c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</row>
    <row r="240" spans="3:58" ht="17.25" customHeight="1">
      <c r="C240" s="1">
        <v>44022</v>
      </c>
      <c r="E240" s="2" t="s">
        <v>6958</v>
      </c>
      <c r="F240" s="15"/>
      <c r="G240" s="2" t="s">
        <v>7269</v>
      </c>
      <c r="H240" s="2" t="s">
        <v>7268</v>
      </c>
      <c r="I240" s="2"/>
      <c r="J240" s="2">
        <v>1</v>
      </c>
      <c r="K240" s="2"/>
      <c r="L240" s="3">
        <v>72.5</v>
      </c>
      <c r="M240" s="3">
        <v>7.25</v>
      </c>
      <c r="N240" s="3">
        <v>3.69</v>
      </c>
      <c r="O240" s="3">
        <v>5.53</v>
      </c>
      <c r="P240" s="3">
        <f>4.53-4.53</f>
        <v>0</v>
      </c>
      <c r="Q240" s="6">
        <f t="shared" ref="Q240" si="523">+L240-M240-N240+P240</f>
        <v>61.56</v>
      </c>
      <c r="R240" s="3"/>
      <c r="S240" s="3">
        <v>45.99</v>
      </c>
      <c r="T240" s="3"/>
      <c r="U240" s="3">
        <v>4.99</v>
      </c>
      <c r="V240" s="3"/>
      <c r="W240" s="3">
        <v>4.59</v>
      </c>
      <c r="X240" s="2">
        <f t="shared" ref="X240" si="524">+S240+T240++U240+V240-W240</f>
        <v>46.39</v>
      </c>
      <c r="Y240" s="6">
        <f t="shared" ref="Y240" si="525">+Q240-X240</f>
        <v>15.170000000000002</v>
      </c>
      <c r="Z240" s="2"/>
      <c r="AA240" s="2"/>
      <c r="AB240" s="2"/>
      <c r="AC240" s="3"/>
      <c r="AD240" s="2"/>
      <c r="AE240" s="2"/>
      <c r="AF240" s="2"/>
      <c r="AG240" s="2"/>
      <c r="AH240" s="2" t="s">
        <v>7271</v>
      </c>
      <c r="AI240" s="2" t="s">
        <v>7270</v>
      </c>
      <c r="AJ240" s="2"/>
      <c r="AK240" s="2"/>
      <c r="AL240" s="2" t="s">
        <v>6728</v>
      </c>
      <c r="AM240" s="16" t="s">
        <v>7482</v>
      </c>
      <c r="AN240" s="2"/>
      <c r="AO240" s="2" t="s">
        <v>7687</v>
      </c>
      <c r="AP240" s="2" t="s">
        <v>6912</v>
      </c>
      <c r="AQ240" s="2" t="s">
        <v>6962</v>
      </c>
      <c r="AR240" s="16" t="s">
        <v>7602</v>
      </c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</row>
    <row r="241" spans="3:58" ht="17.25" customHeight="1">
      <c r="C241" s="1">
        <v>44022</v>
      </c>
      <c r="E241" s="2" t="s">
        <v>7267</v>
      </c>
      <c r="F241" s="15"/>
      <c r="G241" s="2" t="s">
        <v>6415</v>
      </c>
      <c r="H241" s="2" t="s">
        <v>6414</v>
      </c>
      <c r="I241" s="2"/>
      <c r="J241" s="2">
        <v>1</v>
      </c>
      <c r="K241" s="2"/>
      <c r="L241" s="3">
        <v>45.7</v>
      </c>
      <c r="M241" s="3">
        <v>4.57</v>
      </c>
      <c r="N241" s="3">
        <v>2.48</v>
      </c>
      <c r="O241" s="3">
        <v>3.88</v>
      </c>
      <c r="P241" s="3">
        <f>3.88-3.88</f>
        <v>0</v>
      </c>
      <c r="Q241" s="6">
        <f t="shared" ref="Q241:Q242" si="526">+L241-M241-N241+P241</f>
        <v>38.650000000000006</v>
      </c>
      <c r="R241" s="3"/>
      <c r="S241" s="3">
        <v>25.98</v>
      </c>
      <c r="T241" s="3">
        <v>2.63</v>
      </c>
      <c r="U241" s="3">
        <v>5</v>
      </c>
      <c r="V241" s="3"/>
      <c r="W241" s="3"/>
      <c r="X241" s="2">
        <f t="shared" ref="X241:X242" si="527">+S241+T241++U241+V241-W241</f>
        <v>33.61</v>
      </c>
      <c r="Y241" s="6">
        <f t="shared" ref="Y241:Y242" si="528">+Q241-X241</f>
        <v>5.0400000000000063</v>
      </c>
      <c r="Z241" s="2"/>
      <c r="AA241" s="2"/>
      <c r="AB241" s="2"/>
      <c r="AC241" s="3"/>
      <c r="AD241" s="2"/>
      <c r="AE241" s="2"/>
      <c r="AF241" s="2"/>
      <c r="AG241" s="2"/>
      <c r="AH241" s="2" t="s">
        <v>6417</v>
      </c>
      <c r="AI241" s="2" t="s">
        <v>6416</v>
      </c>
      <c r="AJ241" s="2"/>
      <c r="AK241" s="2"/>
      <c r="AL241" s="2" t="s">
        <v>7833</v>
      </c>
      <c r="AM241" s="2" t="s">
        <v>7985</v>
      </c>
      <c r="AN241" s="2"/>
      <c r="AO241" s="2" t="s">
        <v>7392</v>
      </c>
      <c r="AP241" s="2" t="s">
        <v>6911</v>
      </c>
      <c r="AQ241" s="2" t="s">
        <v>7267</v>
      </c>
      <c r="AR241" s="16" t="s">
        <v>7986</v>
      </c>
      <c r="AS241" s="2" t="s">
        <v>7786</v>
      </c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</row>
    <row r="242" spans="3:58" ht="17.25" customHeight="1">
      <c r="C242" s="1">
        <v>44022</v>
      </c>
      <c r="E242" s="2" t="s">
        <v>7208</v>
      </c>
      <c r="F242" s="15"/>
      <c r="G242" s="2" t="s">
        <v>7245</v>
      </c>
      <c r="H242" s="2" t="s">
        <v>7380</v>
      </c>
      <c r="I242" s="2"/>
      <c r="J242" s="2">
        <v>1</v>
      </c>
      <c r="K242" s="2"/>
      <c r="L242" s="3">
        <v>19.5</v>
      </c>
      <c r="M242" s="3">
        <v>1.95</v>
      </c>
      <c r="N242" s="3">
        <v>1.1599999999999999</v>
      </c>
      <c r="O242" s="3">
        <v>0</v>
      </c>
      <c r="P242" s="3">
        <f>1.37-1.37</f>
        <v>0</v>
      </c>
      <c r="Q242" s="6">
        <f t="shared" si="526"/>
        <v>16.39</v>
      </c>
      <c r="R242" s="3"/>
      <c r="S242" s="3">
        <v>9.49</v>
      </c>
      <c r="T242" s="3">
        <v>1.0900000000000001</v>
      </c>
      <c r="U242" s="3"/>
      <c r="V242" s="3"/>
      <c r="W242" s="3">
        <v>0.47</v>
      </c>
      <c r="X242" s="2">
        <f t="shared" si="527"/>
        <v>10.11</v>
      </c>
      <c r="Y242" s="6">
        <f t="shared" si="528"/>
        <v>6.2800000000000011</v>
      </c>
      <c r="Z242" s="6">
        <f>SUM(Y240:Y242)</f>
        <v>26.490000000000009</v>
      </c>
      <c r="AA242" s="34">
        <f>SUM(J240:J242)</f>
        <v>3</v>
      </c>
      <c r="AB242" s="2"/>
      <c r="AC242" s="3"/>
      <c r="AD242" s="2"/>
      <c r="AE242" s="2"/>
      <c r="AF242" s="2"/>
      <c r="AG242" s="2"/>
      <c r="AH242" s="2" t="s">
        <v>7244</v>
      </c>
      <c r="AI242" s="2" t="s">
        <v>7243</v>
      </c>
      <c r="AJ242" s="2"/>
      <c r="AK242" s="2"/>
      <c r="AL242" s="2" t="s">
        <v>2926</v>
      </c>
      <c r="AM242" s="16" t="s">
        <v>8270</v>
      </c>
      <c r="AN242" s="2"/>
      <c r="AO242" s="2" t="s">
        <v>7381</v>
      </c>
      <c r="AP242" s="2" t="s">
        <v>6929</v>
      </c>
      <c r="AQ242" s="2" t="s">
        <v>6798</v>
      </c>
      <c r="AR242" s="16" t="s">
        <v>7382</v>
      </c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</row>
    <row r="243" spans="3:58" ht="17.25" customHeight="1">
      <c r="C243" s="1">
        <v>44021</v>
      </c>
      <c r="E243" s="2" t="s">
        <v>6958</v>
      </c>
      <c r="F243" s="15"/>
      <c r="G243" s="2" t="s">
        <v>7221</v>
      </c>
      <c r="H243" s="2" t="s">
        <v>7220</v>
      </c>
      <c r="I243" s="2"/>
      <c r="J243" s="2">
        <v>1</v>
      </c>
      <c r="K243" s="2"/>
      <c r="L243" s="3">
        <v>72.5</v>
      </c>
      <c r="M243" s="3">
        <v>7.25</v>
      </c>
      <c r="N243" s="3">
        <v>3.82</v>
      </c>
      <c r="O243" s="3">
        <v>7.4</v>
      </c>
      <c r="P243" s="3">
        <f>7.4-7.4</f>
        <v>0</v>
      </c>
      <c r="Q243" s="6">
        <f t="shared" ref="Q243" si="529">+L243-M243-N243+P243</f>
        <v>61.43</v>
      </c>
      <c r="R243" s="3"/>
      <c r="S243" s="3">
        <v>45.99</v>
      </c>
      <c r="T243" s="3"/>
      <c r="U243" s="3">
        <v>4.99</v>
      </c>
      <c r="V243" s="3"/>
      <c r="W243" s="3">
        <v>4.59</v>
      </c>
      <c r="X243" s="2">
        <f t="shared" ref="X243" si="530">+S243+T243++U243+V243-W243</f>
        <v>46.39</v>
      </c>
      <c r="Y243" s="6">
        <f t="shared" ref="Y243" si="531">+Q243-X243</f>
        <v>15.04</v>
      </c>
      <c r="Z243" s="2"/>
      <c r="AA243" s="2"/>
      <c r="AB243" s="2"/>
      <c r="AC243" s="3"/>
      <c r="AD243" s="2"/>
      <c r="AE243" s="2"/>
      <c r="AF243" s="2"/>
      <c r="AG243" s="2"/>
      <c r="AH243" s="2" t="s">
        <v>7223</v>
      </c>
      <c r="AI243" s="2" t="s">
        <v>7222</v>
      </c>
      <c r="AJ243" s="2"/>
      <c r="AK243" s="2"/>
      <c r="AL243" s="2" t="s">
        <v>6728</v>
      </c>
      <c r="AM243" s="16" t="s">
        <v>7481</v>
      </c>
      <c r="AN243" s="2"/>
      <c r="AO243" s="2" t="s">
        <v>7374</v>
      </c>
      <c r="AP243" s="2" t="s">
        <v>6912</v>
      </c>
      <c r="AQ243" s="2" t="s">
        <v>6962</v>
      </c>
      <c r="AR243" s="16" t="s">
        <v>7597</v>
      </c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</row>
    <row r="244" spans="3:58" ht="17.25" customHeight="1">
      <c r="C244" s="1">
        <v>44021</v>
      </c>
      <c r="E244" s="2" t="s">
        <v>7208</v>
      </c>
      <c r="F244" s="15"/>
      <c r="G244" s="2" t="s">
        <v>7239</v>
      </c>
      <c r="H244" s="2" t="s">
        <v>7238</v>
      </c>
      <c r="I244" s="2"/>
      <c r="J244" s="2">
        <v>1</v>
      </c>
      <c r="K244" s="2"/>
      <c r="L244" s="3">
        <v>19.5</v>
      </c>
      <c r="M244" s="3">
        <v>1.95</v>
      </c>
      <c r="N244" s="3">
        <v>1.22</v>
      </c>
      <c r="O244" s="3">
        <v>1.37</v>
      </c>
      <c r="P244" s="3">
        <f>1.37-1.37</f>
        <v>0</v>
      </c>
      <c r="Q244" s="6">
        <f t="shared" ref="Q244" si="532">+L244-M244-N244+P244</f>
        <v>16.330000000000002</v>
      </c>
      <c r="R244" s="3"/>
      <c r="S244" s="3">
        <v>6.99</v>
      </c>
      <c r="T244" s="3">
        <v>0.49</v>
      </c>
      <c r="U244" s="3"/>
      <c r="V244" s="3"/>
      <c r="W244" s="3">
        <v>0</v>
      </c>
      <c r="X244" s="2">
        <f t="shared" ref="X244" si="533">+S244+T244++U244+V244-W244</f>
        <v>7.48</v>
      </c>
      <c r="Y244" s="6">
        <f t="shared" ref="Y244" si="534">+Q244-X244</f>
        <v>8.8500000000000014</v>
      </c>
      <c r="Z244" s="2"/>
      <c r="AA244" s="2"/>
      <c r="AB244" s="2"/>
      <c r="AC244" s="3"/>
      <c r="AD244" s="2"/>
      <c r="AE244" s="2"/>
      <c r="AF244" s="2"/>
      <c r="AG244" s="2"/>
      <c r="AH244" s="2" t="s">
        <v>7241</v>
      </c>
      <c r="AI244" s="2" t="s">
        <v>7240</v>
      </c>
      <c r="AJ244" s="2"/>
      <c r="AK244" s="2"/>
      <c r="AL244" s="2" t="s">
        <v>6728</v>
      </c>
      <c r="AM244" s="16" t="s">
        <v>7484</v>
      </c>
      <c r="AN244" s="2"/>
      <c r="AO244" s="2" t="s">
        <v>7379</v>
      </c>
      <c r="AP244" s="2" t="s">
        <v>6929</v>
      </c>
      <c r="AQ244" s="2" t="s">
        <v>6798</v>
      </c>
      <c r="AR244" s="16" t="s">
        <v>6837</v>
      </c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</row>
    <row r="245" spans="3:58" ht="17.25" customHeight="1">
      <c r="C245" s="1">
        <v>44021</v>
      </c>
      <c r="E245" s="2" t="s">
        <v>7207</v>
      </c>
      <c r="F245" s="15"/>
      <c r="G245" s="2" t="s">
        <v>7217</v>
      </c>
      <c r="H245" s="2" t="s">
        <v>7216</v>
      </c>
      <c r="I245" s="2"/>
      <c r="J245" s="2">
        <v>1</v>
      </c>
      <c r="K245" s="2" t="s">
        <v>6707</v>
      </c>
      <c r="L245" s="3">
        <v>39.5</v>
      </c>
      <c r="M245" s="3">
        <v>3.95</v>
      </c>
      <c r="N245" s="3">
        <v>2.1800000000000002</v>
      </c>
      <c r="O245" s="3">
        <v>3.34</v>
      </c>
      <c r="P245" s="3">
        <f>3.34-3.34</f>
        <v>0</v>
      </c>
      <c r="Q245" s="6">
        <f t="shared" ref="Q245" si="535">+L245-M245-N245+P245</f>
        <v>33.369999999999997</v>
      </c>
      <c r="R245" s="3"/>
      <c r="S245" s="3">
        <v>23.99</v>
      </c>
      <c r="T245" s="3">
        <v>2.0299999999999998</v>
      </c>
      <c r="U245" s="3">
        <v>0</v>
      </c>
      <c r="V245" s="3"/>
      <c r="W245" s="3">
        <v>0</v>
      </c>
      <c r="X245" s="2">
        <f t="shared" ref="X245" si="536">+S245+T245++U245+V245-W245</f>
        <v>26.02</v>
      </c>
      <c r="Y245" s="6">
        <f t="shared" ref="Y245" si="537">+Q245-X245</f>
        <v>7.3499999999999979</v>
      </c>
      <c r="Z245" s="2"/>
      <c r="AA245" s="2"/>
      <c r="AB245" s="2"/>
      <c r="AC245" s="3"/>
      <c r="AD245" s="2"/>
      <c r="AE245" s="2"/>
      <c r="AF245" s="2"/>
      <c r="AG245" s="2"/>
      <c r="AH245" s="2" t="s">
        <v>7219</v>
      </c>
      <c r="AI245" s="2" t="s">
        <v>7218</v>
      </c>
      <c r="AJ245" s="2"/>
      <c r="AK245" s="2"/>
      <c r="AL245" s="2" t="s">
        <v>6781</v>
      </c>
      <c r="AM245" s="16" t="s">
        <v>7439</v>
      </c>
      <c r="AN245" s="2"/>
      <c r="AO245" s="2" t="s">
        <v>7373</v>
      </c>
      <c r="AP245" s="2" t="s">
        <v>6931</v>
      </c>
      <c r="AQ245" s="2" t="s">
        <v>7174</v>
      </c>
      <c r="AR245" s="16" t="s">
        <v>6837</v>
      </c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</row>
    <row r="246" spans="3:58" ht="17.25" customHeight="1">
      <c r="C246" s="1">
        <v>44021</v>
      </c>
      <c r="E246" s="2" t="s">
        <v>7204</v>
      </c>
      <c r="F246" s="15"/>
      <c r="G246" s="2" t="s">
        <v>7212</v>
      </c>
      <c r="H246" s="2" t="s">
        <v>7211</v>
      </c>
      <c r="I246" s="2"/>
      <c r="J246" s="2">
        <v>1</v>
      </c>
      <c r="K246" s="2"/>
      <c r="L246" s="3">
        <v>84.5</v>
      </c>
      <c r="M246" s="3">
        <v>8.4499999999999993</v>
      </c>
      <c r="N246" s="3">
        <v>4.3499999999999996</v>
      </c>
      <c r="O246" s="3">
        <v>7.5</v>
      </c>
      <c r="P246" s="3">
        <f>7.5-7.5</f>
        <v>0</v>
      </c>
      <c r="Q246" s="6">
        <f t="shared" ref="Q246" si="538">+L246-M246-N246+P246</f>
        <v>71.7</v>
      </c>
      <c r="R246" s="3"/>
      <c r="S246" s="3">
        <v>65.19</v>
      </c>
      <c r="T246" s="3">
        <v>5.79</v>
      </c>
      <c r="U246" s="3"/>
      <c r="V246" s="3"/>
      <c r="W246" s="3">
        <f>6.51+0.58</f>
        <v>7.09</v>
      </c>
      <c r="X246" s="2">
        <f t="shared" ref="X246" si="539">+S246+T246++U246+V246-W246</f>
        <v>63.89</v>
      </c>
      <c r="Y246" s="6">
        <f t="shared" ref="Y246" si="540">+Q246-X246</f>
        <v>7.8100000000000023</v>
      </c>
      <c r="Z246" s="2"/>
      <c r="AA246" s="2"/>
      <c r="AB246" s="2"/>
      <c r="AC246" s="3"/>
      <c r="AD246" s="2"/>
      <c r="AE246" s="2"/>
      <c r="AF246" s="2"/>
      <c r="AG246" s="2"/>
      <c r="AH246" s="2" t="s">
        <v>7214</v>
      </c>
      <c r="AI246" s="2" t="s">
        <v>7213</v>
      </c>
      <c r="AJ246" s="2"/>
      <c r="AK246" s="2"/>
      <c r="AL246" s="2" t="s">
        <v>6728</v>
      </c>
      <c r="AM246" s="16" t="s">
        <v>7442</v>
      </c>
      <c r="AN246" s="2"/>
      <c r="AO246" s="2" t="s">
        <v>7415</v>
      </c>
      <c r="AP246" s="2" t="s">
        <v>7215</v>
      </c>
      <c r="AQ246" s="2" t="s">
        <v>6910</v>
      </c>
      <c r="AR246" s="16" t="s">
        <v>7416</v>
      </c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</row>
    <row r="247" spans="3:58" ht="17.25" customHeight="1">
      <c r="C247" s="1">
        <v>44021</v>
      </c>
      <c r="E247" s="2" t="s">
        <v>6996</v>
      </c>
      <c r="F247" s="15"/>
      <c r="G247" s="2" t="s">
        <v>7209</v>
      </c>
      <c r="H247" s="2" t="s">
        <v>7242</v>
      </c>
      <c r="I247" s="2"/>
      <c r="J247" s="2">
        <v>1</v>
      </c>
      <c r="K247" s="2"/>
      <c r="L247" s="3">
        <v>0</v>
      </c>
      <c r="M247" s="3">
        <v>0</v>
      </c>
      <c r="N247" s="3">
        <v>0</v>
      </c>
      <c r="O247" s="3">
        <v>0</v>
      </c>
      <c r="P247" s="3">
        <f>4.64-4.64</f>
        <v>0</v>
      </c>
      <c r="Q247" s="6">
        <f t="shared" ref="Q247" si="541">+L247-M247-N247+P247</f>
        <v>0</v>
      </c>
      <c r="R247" s="3"/>
      <c r="S247" s="3">
        <v>0</v>
      </c>
      <c r="T247" s="3">
        <v>0</v>
      </c>
      <c r="U247" s="3">
        <v>0</v>
      </c>
      <c r="V247" s="3"/>
      <c r="W247" s="3"/>
      <c r="X247" s="2">
        <f t="shared" ref="X247" si="542">+S247+T247++U247+V247-W247</f>
        <v>0</v>
      </c>
      <c r="Y247" s="6">
        <f t="shared" ref="Y247" si="543">+Q247-X247</f>
        <v>0</v>
      </c>
      <c r="Z247" s="6">
        <f>SUM(Y243:Y247)</f>
        <v>39.049999999999997</v>
      </c>
      <c r="AA247" s="34">
        <f>SUM(J243:J247)</f>
        <v>5</v>
      </c>
      <c r="AB247" s="2"/>
      <c r="AC247" s="3"/>
      <c r="AD247" s="2"/>
      <c r="AE247" s="2"/>
      <c r="AF247" s="2"/>
      <c r="AG247" s="2"/>
      <c r="AH247" s="2" t="s">
        <v>7004</v>
      </c>
      <c r="AI247" s="2" t="s">
        <v>7003</v>
      </c>
      <c r="AJ247" s="2"/>
      <c r="AK247" s="2"/>
      <c r="AL247" s="2"/>
      <c r="AM247" s="2"/>
      <c r="AN247" s="2"/>
      <c r="AO247" s="5" t="s">
        <v>6799</v>
      </c>
      <c r="AP247" s="5" t="s">
        <v>6799</v>
      </c>
      <c r="AQ247" s="2" t="s">
        <v>6996</v>
      </c>
      <c r="AR247" s="2"/>
      <c r="AS247" s="2"/>
      <c r="AT247" s="2"/>
      <c r="AU247" s="2" t="s">
        <v>7375</v>
      </c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</row>
    <row r="248" spans="3:58" ht="17.25" customHeight="1">
      <c r="C248" s="1">
        <v>44020</v>
      </c>
      <c r="E248" s="2" t="s">
        <v>7161</v>
      </c>
      <c r="F248" s="15"/>
      <c r="G248" s="2" t="s">
        <v>7163</v>
      </c>
      <c r="H248" s="2" t="s">
        <v>7162</v>
      </c>
      <c r="I248" s="2"/>
      <c r="J248" s="2">
        <v>1</v>
      </c>
      <c r="K248" s="2"/>
      <c r="L248" s="3">
        <v>39.5</v>
      </c>
      <c r="M248" s="3">
        <v>3.95</v>
      </c>
      <c r="N248" s="3">
        <v>2.17</v>
      </c>
      <c r="O248" s="3">
        <v>2.91</v>
      </c>
      <c r="P248" s="3">
        <f>2.91-2.91</f>
        <v>0</v>
      </c>
      <c r="Q248" s="6">
        <f t="shared" ref="Q248:Q249" si="544">+L248-M248-N248+P248</f>
        <v>33.379999999999995</v>
      </c>
      <c r="R248" s="3"/>
      <c r="S248" s="3">
        <v>28.79</v>
      </c>
      <c r="T248" s="3">
        <v>2.12</v>
      </c>
      <c r="U248" s="3"/>
      <c r="V248" s="3"/>
      <c r="W248" s="3"/>
      <c r="X248" s="2">
        <f t="shared" ref="X248:X249" si="545">+S248+T248++U248+V248-W248</f>
        <v>30.91</v>
      </c>
      <c r="Y248" s="6">
        <f t="shared" ref="Y248:Y249" si="546">+Q248-X248</f>
        <v>2.4699999999999953</v>
      </c>
      <c r="Z248" s="2"/>
      <c r="AA248" s="2"/>
      <c r="AB248" s="2"/>
      <c r="AC248" s="3"/>
      <c r="AD248" s="2"/>
      <c r="AE248" s="2"/>
      <c r="AF248" s="2"/>
      <c r="AG248" s="2"/>
      <c r="AH248" s="2" t="s">
        <v>7165</v>
      </c>
      <c r="AI248" s="2" t="s">
        <v>7164</v>
      </c>
      <c r="AJ248" s="2"/>
      <c r="AK248" s="2"/>
      <c r="AL248" s="2" t="s">
        <v>6728</v>
      </c>
      <c r="AM248" s="16" t="s">
        <v>7441</v>
      </c>
      <c r="AN248" s="2"/>
      <c r="AO248" s="2" t="s">
        <v>7388</v>
      </c>
      <c r="AP248" s="2" t="s">
        <v>6929</v>
      </c>
      <c r="AQ248" s="2" t="s">
        <v>7166</v>
      </c>
      <c r="AR248" s="16" t="s">
        <v>6837</v>
      </c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</row>
    <row r="249" spans="3:58" ht="17.25" customHeight="1">
      <c r="C249" s="1">
        <v>44020</v>
      </c>
      <c r="E249" s="2" t="s">
        <v>7160</v>
      </c>
      <c r="F249" s="15"/>
      <c r="G249" s="2" t="s">
        <v>7176</v>
      </c>
      <c r="H249" s="2" t="s">
        <v>7175</v>
      </c>
      <c r="I249" s="2"/>
      <c r="J249" s="2">
        <v>1</v>
      </c>
      <c r="K249" s="2"/>
      <c r="L249" s="3">
        <v>39.5</v>
      </c>
      <c r="M249" s="3">
        <v>3.95</v>
      </c>
      <c r="N249" s="3">
        <v>2.1800000000000002</v>
      </c>
      <c r="O249" s="3">
        <v>3.34</v>
      </c>
      <c r="P249" s="3">
        <f>3.34-3.34</f>
        <v>0</v>
      </c>
      <c r="Q249" s="6">
        <f t="shared" si="544"/>
        <v>33.369999999999997</v>
      </c>
      <c r="R249" s="3"/>
      <c r="S249" s="3">
        <v>23.99</v>
      </c>
      <c r="T249" s="3">
        <v>2.0299999999999998</v>
      </c>
      <c r="U249" s="3">
        <v>0</v>
      </c>
      <c r="V249" s="3"/>
      <c r="W249" s="3">
        <v>0</v>
      </c>
      <c r="X249" s="2">
        <f t="shared" si="545"/>
        <v>26.02</v>
      </c>
      <c r="Y249" s="6">
        <f t="shared" si="546"/>
        <v>7.3499999999999979</v>
      </c>
      <c r="Z249" s="2"/>
      <c r="AA249" s="2"/>
      <c r="AB249" s="2"/>
      <c r="AC249" s="3"/>
      <c r="AD249" s="2"/>
      <c r="AE249" s="2"/>
      <c r="AF249" s="2"/>
      <c r="AG249" s="2"/>
      <c r="AH249" s="2" t="s">
        <v>7178</v>
      </c>
      <c r="AI249" s="2" t="s">
        <v>7177</v>
      </c>
      <c r="AJ249" s="2"/>
      <c r="AK249" s="2"/>
      <c r="AL249" s="2" t="s">
        <v>6728</v>
      </c>
      <c r="AM249" s="16" t="s">
        <v>7408</v>
      </c>
      <c r="AN249" s="2"/>
      <c r="AO249" s="2" t="s">
        <v>7338</v>
      </c>
      <c r="AP249" s="2" t="s">
        <v>6931</v>
      </c>
      <c r="AQ249" s="2" t="s">
        <v>7174</v>
      </c>
      <c r="AR249" s="16" t="s">
        <v>7044</v>
      </c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</row>
    <row r="250" spans="3:58" ht="17.25" customHeight="1">
      <c r="C250" s="1">
        <v>44020</v>
      </c>
      <c r="E250" s="2" t="s">
        <v>6309</v>
      </c>
      <c r="F250" s="15"/>
      <c r="G250" s="2" t="s">
        <v>7171</v>
      </c>
      <c r="H250" s="2" t="s">
        <v>7179</v>
      </c>
      <c r="I250" s="2"/>
      <c r="J250" s="2">
        <v>0</v>
      </c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2"/>
      <c r="AA250" s="2"/>
      <c r="AB250" s="2"/>
      <c r="AC250" s="3"/>
      <c r="AD250" s="2"/>
      <c r="AE250" s="2"/>
      <c r="AF250" s="2"/>
      <c r="AG250" s="2"/>
      <c r="AH250" s="2" t="s">
        <v>7173</v>
      </c>
      <c r="AI250" s="2" t="s">
        <v>7172</v>
      </c>
      <c r="AJ250" s="2"/>
      <c r="AK250" s="2"/>
      <c r="AL250" s="2"/>
      <c r="AM250" s="2"/>
      <c r="AN250" s="2"/>
      <c r="AO250" s="5" t="s">
        <v>6799</v>
      </c>
      <c r="AP250" s="5" t="s">
        <v>6799</v>
      </c>
      <c r="AQ250" s="2" t="s">
        <v>6798</v>
      </c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</row>
    <row r="251" spans="3:58" ht="17.25" customHeight="1">
      <c r="C251" s="1">
        <v>44020</v>
      </c>
      <c r="E251" s="2" t="s">
        <v>6722</v>
      </c>
      <c r="F251" s="15"/>
      <c r="G251" s="2" t="s">
        <v>7168</v>
      </c>
      <c r="H251" s="2" t="s">
        <v>7167</v>
      </c>
      <c r="I251" s="2"/>
      <c r="J251" s="2">
        <v>1</v>
      </c>
      <c r="K251" s="2"/>
      <c r="L251" s="3">
        <v>24.75</v>
      </c>
      <c r="M251" s="3">
        <v>2.4700000000000002</v>
      </c>
      <c r="N251" s="3">
        <v>1.48</v>
      </c>
      <c r="O251" s="3">
        <v>0</v>
      </c>
      <c r="P251" s="3">
        <v>2.13</v>
      </c>
      <c r="Q251" s="6">
        <f t="shared" ref="Q251" si="547">+L251-M251-N251+P251</f>
        <v>22.93</v>
      </c>
      <c r="R251" s="3"/>
      <c r="S251" s="3">
        <v>14.53</v>
      </c>
      <c r="T251" s="3">
        <v>1.25</v>
      </c>
      <c r="U251" s="3"/>
      <c r="V251" s="3"/>
      <c r="W251" s="3"/>
      <c r="X251" s="2">
        <f t="shared" ref="X251" si="548">+S251+T251++U251+V251-W251</f>
        <v>15.78</v>
      </c>
      <c r="Y251" s="6">
        <f t="shared" ref="Y251" si="549">+Q251-X251</f>
        <v>7.15</v>
      </c>
      <c r="Z251" s="6">
        <f>SUM(Y248:Y251)</f>
        <v>16.969999999999992</v>
      </c>
      <c r="AA251" s="34">
        <f>SUM(J248:J251)</f>
        <v>3</v>
      </c>
      <c r="AB251" s="2"/>
      <c r="AC251" s="3"/>
      <c r="AD251" s="2"/>
      <c r="AE251" s="2"/>
      <c r="AF251" s="2"/>
      <c r="AG251" s="2"/>
      <c r="AH251" s="2" t="s">
        <v>7170</v>
      </c>
      <c r="AI251" s="2" t="s">
        <v>7169</v>
      </c>
      <c r="AJ251" s="2"/>
      <c r="AK251" s="2"/>
      <c r="AL251" s="2" t="s">
        <v>6781</v>
      </c>
      <c r="AM251" s="2" t="s">
        <v>7328</v>
      </c>
      <c r="AN251" s="2"/>
      <c r="AO251" s="2" t="s">
        <v>7254</v>
      </c>
      <c r="AP251" s="2" t="s">
        <v>6929</v>
      </c>
      <c r="AQ251" s="2" t="s">
        <v>6981</v>
      </c>
      <c r="AR251" s="16" t="s">
        <v>7125</v>
      </c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</row>
    <row r="252" spans="3:58" ht="17.25" customHeight="1">
      <c r="C252" s="1">
        <v>44019</v>
      </c>
      <c r="E252" s="2" t="s">
        <v>6529</v>
      </c>
      <c r="F252" s="15"/>
      <c r="G252" s="2" t="s">
        <v>7140</v>
      </c>
      <c r="H252" s="2" t="s">
        <v>7141</v>
      </c>
      <c r="I252" s="2"/>
      <c r="J252" s="2">
        <v>1</v>
      </c>
      <c r="K252" s="2"/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6">
        <v>0</v>
      </c>
      <c r="R252" s="3"/>
      <c r="S252" s="3">
        <v>0</v>
      </c>
      <c r="T252" s="3">
        <v>0</v>
      </c>
      <c r="U252" s="3"/>
      <c r="V252" s="3"/>
      <c r="W252" s="3"/>
      <c r="X252" s="2">
        <f t="shared" ref="X252:X253" si="550">+S252+T252++U252+V252-W252</f>
        <v>0</v>
      </c>
      <c r="Y252" s="6">
        <f t="shared" ref="Y252:Y253" si="551">+Q252-X252</f>
        <v>0</v>
      </c>
      <c r="Z252" s="2"/>
      <c r="AA252" s="2"/>
      <c r="AB252" s="2"/>
      <c r="AC252" s="3"/>
      <c r="AD252" s="2"/>
      <c r="AE252" s="2"/>
      <c r="AF252" s="2"/>
      <c r="AG252" s="2"/>
      <c r="AH252" s="2" t="s">
        <v>7139</v>
      </c>
      <c r="AI252" s="2" t="s">
        <v>7138</v>
      </c>
      <c r="AJ252" s="2"/>
      <c r="AK252" s="2"/>
      <c r="AL252" s="2"/>
      <c r="AM252" s="2" t="s">
        <v>6707</v>
      </c>
      <c r="AN252" s="2"/>
      <c r="AO252" s="5" t="s">
        <v>6799</v>
      </c>
      <c r="AP252" s="5" t="s">
        <v>6799</v>
      </c>
      <c r="AQ252" s="2" t="s">
        <v>6717</v>
      </c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</row>
    <row r="253" spans="3:58" ht="17.25" customHeight="1">
      <c r="C253" s="1">
        <v>44019</v>
      </c>
      <c r="E253" s="2" t="s">
        <v>7040</v>
      </c>
      <c r="F253" s="15"/>
      <c r="G253" s="2" t="s">
        <v>7132</v>
      </c>
      <c r="H253" s="2" t="s">
        <v>7131</v>
      </c>
      <c r="I253" s="2"/>
      <c r="J253" s="2">
        <v>1</v>
      </c>
      <c r="K253" s="2"/>
      <c r="L253" s="3">
        <v>30.75</v>
      </c>
      <c r="M253" s="3">
        <v>3.07</v>
      </c>
      <c r="N253" s="3">
        <v>1.73</v>
      </c>
      <c r="O253" s="3">
        <v>1.85</v>
      </c>
      <c r="P253" s="3">
        <f>1.85-1.85</f>
        <v>0</v>
      </c>
      <c r="Q253" s="6">
        <f t="shared" ref="Q253" si="552">+L253-M253-N253+P253</f>
        <v>25.95</v>
      </c>
      <c r="R253" s="3"/>
      <c r="S253" s="3">
        <v>19.989999999999998</v>
      </c>
      <c r="T253" s="3">
        <v>1.5</v>
      </c>
      <c r="U253" s="3">
        <v>4.99</v>
      </c>
      <c r="V253" s="3"/>
      <c r="W253" s="3"/>
      <c r="X253" s="2">
        <f t="shared" si="550"/>
        <v>26.479999999999997</v>
      </c>
      <c r="Y253" s="38">
        <f t="shared" si="551"/>
        <v>-0.52999999999999758</v>
      </c>
      <c r="Z253" s="2"/>
      <c r="AA253" s="2"/>
      <c r="AB253" s="2"/>
      <c r="AC253" s="3"/>
      <c r="AD253" s="2"/>
      <c r="AE253" s="2"/>
      <c r="AF253" s="2"/>
      <c r="AG253" s="2"/>
      <c r="AH253" s="2" t="s">
        <v>7134</v>
      </c>
      <c r="AI253" s="2" t="s">
        <v>7133</v>
      </c>
      <c r="AJ253" s="2"/>
      <c r="AK253" s="2"/>
      <c r="AL253" s="2" t="s">
        <v>6728</v>
      </c>
      <c r="AM253" s="16" t="s">
        <v>7393</v>
      </c>
      <c r="AN253" s="2"/>
      <c r="AO253" s="16" t="s">
        <v>7274</v>
      </c>
      <c r="AP253" s="2" t="s">
        <v>7273</v>
      </c>
      <c r="AQ253" s="2" t="s">
        <v>6801</v>
      </c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</row>
    <row r="254" spans="3:58" ht="17.25" customHeight="1">
      <c r="C254" s="1">
        <v>44019</v>
      </c>
      <c r="E254" s="2" t="s">
        <v>6529</v>
      </c>
      <c r="F254" s="15"/>
      <c r="G254" s="2" t="s">
        <v>7135</v>
      </c>
      <c r="H254" s="2" t="s">
        <v>7667</v>
      </c>
      <c r="I254" s="2"/>
      <c r="J254" s="2">
        <v>1</v>
      </c>
      <c r="K254" s="2"/>
      <c r="L254" s="3">
        <v>31.5</v>
      </c>
      <c r="M254" s="3">
        <v>3.15</v>
      </c>
      <c r="N254" s="3">
        <v>1.78</v>
      </c>
      <c r="O254" s="3">
        <v>2.09</v>
      </c>
      <c r="P254" s="3">
        <f>2.09-2.09</f>
        <v>0</v>
      </c>
      <c r="Q254" s="6">
        <f t="shared" ref="Q254" si="553">+L254-M254-N254+P254</f>
        <v>26.57</v>
      </c>
      <c r="R254" s="3"/>
      <c r="S254" s="3">
        <v>17.72</v>
      </c>
      <c r="T254" s="3">
        <v>1.18</v>
      </c>
      <c r="U254" s="3"/>
      <c r="V254" s="3"/>
      <c r="W254" s="3"/>
      <c r="X254" s="2">
        <f t="shared" ref="X254" si="554">+S254+T254++U254+V254-W254</f>
        <v>18.899999999999999</v>
      </c>
      <c r="Y254" s="6">
        <f t="shared" ref="Y254" si="555">+Q254-X254</f>
        <v>7.6700000000000017</v>
      </c>
      <c r="Z254" s="2"/>
      <c r="AA254" s="2"/>
      <c r="AB254" s="2"/>
      <c r="AC254" s="3"/>
      <c r="AD254" s="2"/>
      <c r="AE254" s="2"/>
      <c r="AF254" s="2"/>
      <c r="AG254" s="2"/>
      <c r="AH254" s="2" t="s">
        <v>7137</v>
      </c>
      <c r="AI254" s="2" t="s">
        <v>7136</v>
      </c>
      <c r="AJ254" s="2"/>
      <c r="AK254" s="2"/>
      <c r="AL254" s="2" t="s">
        <v>7826</v>
      </c>
      <c r="AM254" s="2" t="s">
        <v>7825</v>
      </c>
      <c r="AN254" s="2"/>
      <c r="AO254" s="2" t="s">
        <v>7670</v>
      </c>
      <c r="AP254" s="2" t="s">
        <v>5412</v>
      </c>
      <c r="AQ254" s="5" t="s">
        <v>6717</v>
      </c>
      <c r="AR254" s="16" t="s">
        <v>7827</v>
      </c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</row>
    <row r="255" spans="3:58" ht="17.25" customHeight="1">
      <c r="C255" s="1">
        <v>44019</v>
      </c>
      <c r="E255" s="2" t="s">
        <v>6918</v>
      </c>
      <c r="F255" s="15"/>
      <c r="G255" s="2" t="s">
        <v>7119</v>
      </c>
      <c r="H255" s="2" t="s">
        <v>7118</v>
      </c>
      <c r="I255" s="2"/>
      <c r="J255" s="2">
        <v>1</v>
      </c>
      <c r="K255" s="2"/>
      <c r="L255" s="3">
        <v>26.5</v>
      </c>
      <c r="M255" s="3">
        <v>2.65</v>
      </c>
      <c r="N255" s="3">
        <v>1.54</v>
      </c>
      <c r="O255" s="3">
        <v>1.79</v>
      </c>
      <c r="P255" s="3">
        <f>1.79-1.79</f>
        <v>0</v>
      </c>
      <c r="Q255" s="6">
        <f t="shared" ref="Q255" si="556">+L255-M255-N255+P255</f>
        <v>22.310000000000002</v>
      </c>
      <c r="R255" s="3"/>
      <c r="S255" s="3">
        <v>12.43</v>
      </c>
      <c r="T255" s="3">
        <v>0.84</v>
      </c>
      <c r="U255" s="3"/>
      <c r="V255" s="3"/>
      <c r="W255" s="3"/>
      <c r="X255" s="2">
        <f t="shared" ref="X255" si="557">+S255+T255++U255+V255-W255</f>
        <v>13.27</v>
      </c>
      <c r="Y255" s="6">
        <f t="shared" ref="Y255" si="558">+Q255-X255</f>
        <v>9.0400000000000027</v>
      </c>
      <c r="Z255" s="6">
        <f>SUM(Y252:Y255)</f>
        <v>16.180000000000007</v>
      </c>
      <c r="AA255" s="34">
        <f>SUM(J252:J255)</f>
        <v>4</v>
      </c>
      <c r="AB255" s="2"/>
      <c r="AC255" s="3"/>
      <c r="AD255" s="2"/>
      <c r="AE255" s="2"/>
      <c r="AF255" s="2"/>
      <c r="AG255" s="2"/>
      <c r="AH255" s="2" t="s">
        <v>7121</v>
      </c>
      <c r="AI255" s="2" t="s">
        <v>7120</v>
      </c>
      <c r="AJ255" s="2"/>
      <c r="AK255" s="2"/>
      <c r="AL255" s="2" t="s">
        <v>7538</v>
      </c>
      <c r="AM255" s="16" t="s">
        <v>7539</v>
      </c>
      <c r="AN255" s="2"/>
      <c r="AO255" s="2" t="s">
        <v>7523</v>
      </c>
      <c r="AP255" s="2" t="s">
        <v>7524</v>
      </c>
      <c r="AQ255" s="2" t="s">
        <v>6923</v>
      </c>
      <c r="AR255" s="16" t="s">
        <v>7525</v>
      </c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</row>
    <row r="256" spans="3:58" ht="17.25" customHeight="1">
      <c r="C256" s="1">
        <v>44018</v>
      </c>
      <c r="E256" s="2" t="s">
        <v>6899</v>
      </c>
      <c r="F256" s="15"/>
      <c r="G256" s="2" t="s">
        <v>7095</v>
      </c>
      <c r="H256" s="2" t="s">
        <v>7094</v>
      </c>
      <c r="I256" s="2"/>
      <c r="J256" s="2">
        <v>1</v>
      </c>
      <c r="K256" s="2"/>
      <c r="L256" s="3">
        <v>72.5</v>
      </c>
      <c r="M256" s="3">
        <v>7.25</v>
      </c>
      <c r="N256" s="3">
        <v>3.68</v>
      </c>
      <c r="O256" s="3">
        <v>4.3499999999999996</v>
      </c>
      <c r="P256" s="3">
        <f>4.35-4.35</f>
        <v>0</v>
      </c>
      <c r="Q256" s="6">
        <f t="shared" ref="Q256" si="559">+L256-M256-N256+P256</f>
        <v>61.57</v>
      </c>
      <c r="R256" s="3"/>
      <c r="S256" s="3">
        <v>46.99</v>
      </c>
      <c r="T256" s="3"/>
      <c r="U256" s="3">
        <v>4.99</v>
      </c>
      <c r="V256" s="3"/>
      <c r="W256" s="3">
        <v>4.6900000000000004</v>
      </c>
      <c r="X256" s="2">
        <f t="shared" ref="X256" si="560">+S256+T256++U256+V256-W256</f>
        <v>47.290000000000006</v>
      </c>
      <c r="Y256" s="6">
        <f t="shared" ref="Y256" si="561">+Q256-X256</f>
        <v>14.279999999999994</v>
      </c>
      <c r="Z256" s="2"/>
      <c r="AA256" s="2"/>
      <c r="AB256" s="2"/>
      <c r="AC256" s="3"/>
      <c r="AD256" s="2"/>
      <c r="AE256" s="2"/>
      <c r="AF256" s="2"/>
      <c r="AG256" s="2"/>
      <c r="AH256" s="2" t="s">
        <v>7097</v>
      </c>
      <c r="AI256" s="2" t="s">
        <v>7096</v>
      </c>
      <c r="AJ256" s="2"/>
      <c r="AK256" s="2"/>
      <c r="AL256" s="2" t="s">
        <v>6728</v>
      </c>
      <c r="AM256" s="16" t="s">
        <v>7150</v>
      </c>
      <c r="AN256" s="2"/>
      <c r="AO256" s="2" t="s">
        <v>7123</v>
      </c>
      <c r="AP256" s="2" t="s">
        <v>6912</v>
      </c>
      <c r="AQ256" s="2" t="s">
        <v>6905</v>
      </c>
      <c r="AR256" s="16" t="s">
        <v>7063</v>
      </c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</row>
    <row r="257" spans="3:58" ht="17.25" customHeight="1">
      <c r="C257" s="1">
        <v>44018</v>
      </c>
      <c r="E257" s="2" t="s">
        <v>6309</v>
      </c>
      <c r="F257" s="15"/>
      <c r="G257" s="2" t="s">
        <v>7070</v>
      </c>
      <c r="H257" s="2" t="s">
        <v>7069</v>
      </c>
      <c r="I257" s="2"/>
      <c r="J257" s="2">
        <v>1</v>
      </c>
      <c r="K257" s="2"/>
      <c r="L257" s="3">
        <v>19.5</v>
      </c>
      <c r="M257" s="3">
        <v>1.95</v>
      </c>
      <c r="N257" s="3">
        <v>1.22</v>
      </c>
      <c r="O257" s="3">
        <v>1.37</v>
      </c>
      <c r="P257" s="3">
        <f>1.37-1.37</f>
        <v>0</v>
      </c>
      <c r="Q257" s="6">
        <f t="shared" ref="Q257" si="562">+L257-M257-N257+P257</f>
        <v>16.330000000000002</v>
      </c>
      <c r="R257" s="3"/>
      <c r="S257" s="3">
        <v>6.99</v>
      </c>
      <c r="T257" s="3">
        <v>0.49</v>
      </c>
      <c r="U257" s="3"/>
      <c r="V257" s="3"/>
      <c r="W257" s="3">
        <v>0</v>
      </c>
      <c r="X257" s="2">
        <f t="shared" ref="X257" si="563">+S257+T257++U257+V257-W257</f>
        <v>7.48</v>
      </c>
      <c r="Y257" s="6">
        <f t="shared" ref="Y257" si="564">+Q257-X257</f>
        <v>8.8500000000000014</v>
      </c>
      <c r="Z257" s="2"/>
      <c r="AA257" s="2"/>
      <c r="AB257" s="2"/>
      <c r="AC257" s="3"/>
      <c r="AD257" s="2"/>
      <c r="AE257" s="2"/>
      <c r="AF257" s="2"/>
      <c r="AG257" s="2"/>
      <c r="AH257" s="2" t="s">
        <v>7072</v>
      </c>
      <c r="AI257" s="2" t="s">
        <v>7071</v>
      </c>
      <c r="AJ257" s="2"/>
      <c r="AK257" s="2"/>
      <c r="AL257" s="2" t="s">
        <v>6728</v>
      </c>
      <c r="AM257" s="16" t="s">
        <v>7275</v>
      </c>
      <c r="AN257" s="2"/>
      <c r="AO257" s="2" t="s">
        <v>7237</v>
      </c>
      <c r="AP257" s="2" t="s">
        <v>6929</v>
      </c>
      <c r="AQ257" s="2" t="s">
        <v>6798</v>
      </c>
      <c r="AR257" s="16" t="s">
        <v>7236</v>
      </c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</row>
    <row r="258" spans="3:58" ht="17.25" customHeight="1">
      <c r="C258" s="1">
        <v>44018</v>
      </c>
      <c r="E258" s="2" t="s">
        <v>7068</v>
      </c>
      <c r="F258" s="15"/>
      <c r="G258" s="2" t="s">
        <v>7074</v>
      </c>
      <c r="H258" s="2" t="s">
        <v>7073</v>
      </c>
      <c r="I258" s="2"/>
      <c r="J258" s="2">
        <v>1</v>
      </c>
      <c r="K258" s="2"/>
      <c r="L258" s="3">
        <v>35.5</v>
      </c>
      <c r="M258" s="3">
        <v>3.55</v>
      </c>
      <c r="N258" s="3">
        <v>1.96</v>
      </c>
      <c r="O258" s="3">
        <v>2.17</v>
      </c>
      <c r="P258" s="3">
        <f>2.17-2.17</f>
        <v>0</v>
      </c>
      <c r="Q258" s="3"/>
      <c r="R258" s="3"/>
      <c r="S258" s="3"/>
      <c r="T258" s="3"/>
      <c r="U258" s="3"/>
      <c r="V258" s="3"/>
      <c r="W258" s="3"/>
      <c r="X258" s="2">
        <f t="shared" ref="X258:X259" si="565">+S258+T258++U258+V258-W258</f>
        <v>0</v>
      </c>
      <c r="Y258" s="6">
        <f t="shared" ref="Y258:Y259" si="566">+Q258-X258</f>
        <v>0</v>
      </c>
      <c r="Z258" s="2"/>
      <c r="AA258" s="2"/>
      <c r="AB258" s="2"/>
      <c r="AC258" s="3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5" t="s">
        <v>6799</v>
      </c>
      <c r="AP258" s="5" t="s">
        <v>6799</v>
      </c>
      <c r="AQ258" s="2" t="s">
        <v>7093</v>
      </c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</row>
    <row r="259" spans="3:58" ht="17.25" customHeight="1">
      <c r="C259" s="1">
        <v>44018</v>
      </c>
      <c r="E259" s="2" t="s">
        <v>7067</v>
      </c>
      <c r="F259" s="15"/>
      <c r="G259" s="2" t="s">
        <v>7076</v>
      </c>
      <c r="H259" s="2" t="s">
        <v>7075</v>
      </c>
      <c r="I259" s="2"/>
      <c r="J259" s="2">
        <v>1</v>
      </c>
      <c r="K259" s="2"/>
      <c r="L259" s="3">
        <v>45.7</v>
      </c>
      <c r="M259" s="3">
        <v>4.57</v>
      </c>
      <c r="N259" s="3">
        <v>2.48</v>
      </c>
      <c r="O259" s="3">
        <v>3.75</v>
      </c>
      <c r="P259" s="3">
        <f>3.75-3.75</f>
        <v>0</v>
      </c>
      <c r="Q259" s="6">
        <f t="shared" ref="Q259" si="567">+L259-M259-N259+P259</f>
        <v>38.650000000000006</v>
      </c>
      <c r="R259" s="3"/>
      <c r="S259" s="3">
        <v>25.98</v>
      </c>
      <c r="T259" s="3">
        <v>2.13</v>
      </c>
      <c r="U259" s="3">
        <v>5</v>
      </c>
      <c r="V259" s="3"/>
      <c r="W259" s="3"/>
      <c r="X259" s="2">
        <f t="shared" si="565"/>
        <v>33.11</v>
      </c>
      <c r="Y259" s="6">
        <f t="shared" si="566"/>
        <v>5.5400000000000063</v>
      </c>
      <c r="Z259" s="2"/>
      <c r="AA259" s="2"/>
      <c r="AB259" s="2"/>
      <c r="AC259" s="3"/>
      <c r="AD259" s="2"/>
      <c r="AE259" s="2"/>
      <c r="AF259" s="2"/>
      <c r="AG259" s="2"/>
      <c r="AH259" s="2" t="s">
        <v>7078</v>
      </c>
      <c r="AI259" s="2" t="s">
        <v>7077</v>
      </c>
      <c r="AJ259" s="2"/>
      <c r="AK259" s="2"/>
      <c r="AL259" s="2" t="s">
        <v>6781</v>
      </c>
      <c r="AM259" s="2" t="s">
        <v>7266</v>
      </c>
      <c r="AN259" s="2"/>
      <c r="AO259" s="2" t="s">
        <v>7203</v>
      </c>
      <c r="AP259" s="2" t="s">
        <v>6911</v>
      </c>
      <c r="AQ259" s="2" t="s">
        <v>7079</v>
      </c>
      <c r="AR259" s="16" t="s">
        <v>7156</v>
      </c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</row>
    <row r="260" spans="3:58" ht="17.25" customHeight="1">
      <c r="C260" s="1">
        <v>44018</v>
      </c>
      <c r="E260" s="2" t="s">
        <v>6529</v>
      </c>
      <c r="F260" s="15"/>
      <c r="G260" s="2" t="s">
        <v>7081</v>
      </c>
      <c r="H260" s="2" t="s">
        <v>7080</v>
      </c>
      <c r="I260" s="2"/>
      <c r="J260" s="2">
        <v>1</v>
      </c>
      <c r="K260" s="2"/>
      <c r="L260" s="3">
        <v>31.5</v>
      </c>
      <c r="M260" s="3">
        <v>3.15</v>
      </c>
      <c r="N260" s="3">
        <v>1.78</v>
      </c>
      <c r="O260" s="3">
        <v>0</v>
      </c>
      <c r="P260" s="3">
        <v>2.21</v>
      </c>
      <c r="Q260" s="6">
        <f t="shared" ref="Q260:Q262" si="568">+L260-M260-N260+P260</f>
        <v>28.78</v>
      </c>
      <c r="R260" s="3"/>
      <c r="S260" s="3">
        <v>17.72</v>
      </c>
      <c r="T260" s="3">
        <v>1.24</v>
      </c>
      <c r="U260" s="3"/>
      <c r="V260" s="3"/>
      <c r="W260" s="3"/>
      <c r="X260" s="2">
        <f t="shared" ref="X260:X262" si="569">+S260+T260++U260+V260-W260</f>
        <v>18.959999999999997</v>
      </c>
      <c r="Y260" s="6">
        <f t="shared" ref="Y260:Y262" si="570">+Q260-X260</f>
        <v>9.8200000000000038</v>
      </c>
      <c r="Z260" s="2"/>
      <c r="AA260" s="2"/>
      <c r="AB260" s="2"/>
      <c r="AC260" s="3"/>
      <c r="AD260" s="2"/>
      <c r="AE260" s="2"/>
      <c r="AF260" s="2"/>
      <c r="AG260" s="2"/>
      <c r="AH260" s="2" t="s">
        <v>7083</v>
      </c>
      <c r="AI260" s="2" t="s">
        <v>7082</v>
      </c>
      <c r="AJ260" s="2"/>
      <c r="AK260" s="2"/>
      <c r="AL260" s="2" t="s">
        <v>6781</v>
      </c>
      <c r="AM260" s="2" t="s">
        <v>7735</v>
      </c>
      <c r="AN260" s="2"/>
      <c r="AO260" s="16" t="s">
        <v>7668</v>
      </c>
      <c r="AP260" s="2" t="s">
        <v>6931</v>
      </c>
      <c r="AQ260" s="5" t="s">
        <v>6717</v>
      </c>
      <c r="AR260" s="16" t="s">
        <v>7669</v>
      </c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</row>
    <row r="261" spans="3:58" ht="17.25" customHeight="1">
      <c r="C261" s="1">
        <v>44018</v>
      </c>
      <c r="E261" s="2" t="s">
        <v>6722</v>
      </c>
      <c r="F261" s="15"/>
      <c r="G261" s="2" t="s">
        <v>7085</v>
      </c>
      <c r="H261" s="2" t="s">
        <v>7084</v>
      </c>
      <c r="I261" s="2"/>
      <c r="J261" s="2">
        <v>1</v>
      </c>
      <c r="K261" s="2"/>
      <c r="L261" s="3">
        <v>24.75</v>
      </c>
      <c r="M261" s="3">
        <v>2.4700000000000002</v>
      </c>
      <c r="N261" s="3">
        <v>1.45</v>
      </c>
      <c r="O261" s="3">
        <v>1.49</v>
      </c>
      <c r="P261" s="3">
        <f>1.49-1.49</f>
        <v>0</v>
      </c>
      <c r="Q261" s="6">
        <f t="shared" si="568"/>
        <v>20.830000000000002</v>
      </c>
      <c r="R261" s="3"/>
      <c r="S261" s="3">
        <v>14.68</v>
      </c>
      <c r="T261" s="3">
        <v>0.88</v>
      </c>
      <c r="U261" s="3"/>
      <c r="V261" s="3"/>
      <c r="W261" s="3"/>
      <c r="X261" s="2">
        <f t="shared" si="569"/>
        <v>15.56</v>
      </c>
      <c r="Y261" s="6">
        <f t="shared" si="570"/>
        <v>5.2700000000000014</v>
      </c>
      <c r="Z261" s="2"/>
      <c r="AA261" s="2"/>
      <c r="AB261" s="2"/>
      <c r="AC261" s="3"/>
      <c r="AD261" s="2"/>
      <c r="AE261" s="2"/>
      <c r="AF261" s="2"/>
      <c r="AG261" s="2"/>
      <c r="AH261" s="2" t="s">
        <v>7087</v>
      </c>
      <c r="AI261" s="2" t="s">
        <v>7086</v>
      </c>
      <c r="AJ261" s="2"/>
      <c r="AK261" s="2"/>
      <c r="AL261" s="2" t="s">
        <v>7327</v>
      </c>
      <c r="AM261" s="2" t="s">
        <v>7326</v>
      </c>
      <c r="AN261" s="2"/>
      <c r="AO261" s="2" t="s">
        <v>7253</v>
      </c>
      <c r="AP261" s="2" t="s">
        <v>6929</v>
      </c>
      <c r="AQ261" s="2" t="s">
        <v>6981</v>
      </c>
      <c r="AR261" s="16" t="s">
        <v>7188</v>
      </c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</row>
    <row r="262" spans="3:58" ht="17.25" customHeight="1">
      <c r="C262" s="1">
        <v>44018</v>
      </c>
      <c r="E262" s="2" t="s">
        <v>7090</v>
      </c>
      <c r="F262" s="15"/>
      <c r="G262" s="2" t="s">
        <v>7089</v>
      </c>
      <c r="H262" s="2" t="s">
        <v>7088</v>
      </c>
      <c r="I262" s="2"/>
      <c r="J262" s="2">
        <v>1</v>
      </c>
      <c r="K262" s="2"/>
      <c r="L262" s="3">
        <v>32.35</v>
      </c>
      <c r="M262" s="3">
        <v>3.23</v>
      </c>
      <c r="N262" s="3">
        <v>1.82</v>
      </c>
      <c r="O262" s="3">
        <v>0</v>
      </c>
      <c r="P262" s="3">
        <v>2.2599999999999998</v>
      </c>
      <c r="Q262" s="6">
        <f t="shared" si="568"/>
        <v>29.560000000000002</v>
      </c>
      <c r="R262" s="3"/>
      <c r="S262" s="3">
        <v>22.49</v>
      </c>
      <c r="T262" s="3">
        <v>0</v>
      </c>
      <c r="U262" s="3"/>
      <c r="V262" s="3"/>
      <c r="W262" s="3"/>
      <c r="X262" s="2">
        <f t="shared" si="569"/>
        <v>22.49</v>
      </c>
      <c r="Y262" s="6">
        <f t="shared" si="570"/>
        <v>7.0700000000000038</v>
      </c>
      <c r="Z262" s="6">
        <f>SUM(Y256:Y262)</f>
        <v>50.830000000000013</v>
      </c>
      <c r="AA262" s="34">
        <f>SUM(J256:J262)</f>
        <v>7</v>
      </c>
      <c r="AB262" s="2"/>
      <c r="AC262" s="3"/>
      <c r="AD262" s="2"/>
      <c r="AE262" s="2"/>
      <c r="AF262" s="2"/>
      <c r="AG262" s="2"/>
      <c r="AH262" s="2" t="s">
        <v>7092</v>
      </c>
      <c r="AI262" s="2" t="s">
        <v>7091</v>
      </c>
      <c r="AJ262" s="2"/>
      <c r="AK262" s="2"/>
      <c r="AL262" s="2" t="s">
        <v>6781</v>
      </c>
      <c r="AM262" s="2" t="s">
        <v>7391</v>
      </c>
      <c r="AN262" s="2"/>
      <c r="AO262" s="2" t="s">
        <v>7256</v>
      </c>
      <c r="AP262" s="2" t="s">
        <v>7255</v>
      </c>
      <c r="AQ262" s="2" t="s">
        <v>7054</v>
      </c>
      <c r="AR262" s="16" t="s">
        <v>7246</v>
      </c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</row>
    <row r="263" spans="3:58" ht="17.25" customHeight="1">
      <c r="C263" s="1">
        <v>44017</v>
      </c>
      <c r="E263" s="2" t="s">
        <v>7040</v>
      </c>
      <c r="F263" s="15"/>
      <c r="G263" s="2" t="s">
        <v>7051</v>
      </c>
      <c r="H263" s="2" t="s">
        <v>7050</v>
      </c>
      <c r="I263" s="2"/>
      <c r="J263" s="2">
        <v>1</v>
      </c>
      <c r="K263" s="2"/>
      <c r="L263" s="3">
        <v>30.75</v>
      </c>
      <c r="M263" s="3">
        <v>3.07</v>
      </c>
      <c r="N263" s="3">
        <v>1.73</v>
      </c>
      <c r="O263" s="3">
        <v>1.85</v>
      </c>
      <c r="P263" s="3">
        <f>1.85-1.85</f>
        <v>0</v>
      </c>
      <c r="Q263" s="6">
        <f t="shared" ref="Q263" si="571">+L263-M263-N263+P263</f>
        <v>25.95</v>
      </c>
      <c r="R263" s="3"/>
      <c r="S263" s="3">
        <v>15.21</v>
      </c>
      <c r="T263" s="3">
        <v>0.92</v>
      </c>
      <c r="U263" s="3"/>
      <c r="V263" s="3"/>
      <c r="W263" s="3"/>
      <c r="X263" s="2">
        <f t="shared" ref="X263" si="572">+S263+T263++U263+V263-W263</f>
        <v>16.130000000000003</v>
      </c>
      <c r="Y263" s="6">
        <f t="shared" ref="Y263" si="573">+Q263-X263</f>
        <v>9.8199999999999967</v>
      </c>
      <c r="Z263" s="2"/>
      <c r="AA263" s="2"/>
      <c r="AB263" s="2"/>
      <c r="AC263" s="3"/>
      <c r="AD263" s="2"/>
      <c r="AE263" s="2"/>
      <c r="AF263" s="2"/>
      <c r="AG263" s="2"/>
      <c r="AH263" s="2" t="s">
        <v>7053</v>
      </c>
      <c r="AI263" s="2" t="s">
        <v>7052</v>
      </c>
      <c r="AJ263" s="2"/>
      <c r="AK263" s="2"/>
      <c r="AL263" s="2" t="s">
        <v>6728</v>
      </c>
      <c r="AM263" s="16" t="s">
        <v>7398</v>
      </c>
      <c r="AN263" s="2"/>
      <c r="AO263" s="16" t="s">
        <v>7272</v>
      </c>
      <c r="AP263" s="2" t="s">
        <v>7189</v>
      </c>
      <c r="AQ263" s="2" t="s">
        <v>6801</v>
      </c>
      <c r="AR263" s="16" t="s">
        <v>7399</v>
      </c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</row>
    <row r="264" spans="3:58" ht="17.25" customHeight="1">
      <c r="C264" s="1">
        <v>44017</v>
      </c>
      <c r="E264" s="2" t="s">
        <v>7039</v>
      </c>
      <c r="F264" s="15"/>
      <c r="G264" s="2" t="s">
        <v>7047</v>
      </c>
      <c r="H264" s="2" t="s">
        <v>7046</v>
      </c>
      <c r="I264" s="2"/>
      <c r="J264" s="2">
        <v>1</v>
      </c>
      <c r="K264" s="2"/>
      <c r="L264" s="3">
        <v>25.15</v>
      </c>
      <c r="M264" s="3">
        <v>2.5099999999999998</v>
      </c>
      <c r="N264" s="3">
        <v>1.46</v>
      </c>
      <c r="O264" s="3">
        <v>1.29</v>
      </c>
      <c r="P264" s="3">
        <f>1.29-1.29</f>
        <v>0</v>
      </c>
      <c r="Q264" s="6">
        <f t="shared" ref="Q264" si="574">+L264-M264-N264+P264</f>
        <v>21.18</v>
      </c>
      <c r="R264" s="3"/>
      <c r="S264" s="3">
        <v>12.98</v>
      </c>
      <c r="T264" s="3">
        <v>0.67</v>
      </c>
      <c r="U264" s="3"/>
      <c r="V264" s="3"/>
      <c r="W264" s="3"/>
      <c r="X264" s="3">
        <f t="shared" ref="X264" si="575">+S264+T264++U264+V264-W264</f>
        <v>13.65</v>
      </c>
      <c r="Y264" s="6">
        <f t="shared" ref="Y264" si="576">+Q264-X264</f>
        <v>7.5299999999999994</v>
      </c>
      <c r="Z264" s="2"/>
      <c r="AA264" s="2"/>
      <c r="AB264" s="2"/>
      <c r="AC264" s="3"/>
      <c r="AD264" s="2"/>
      <c r="AE264" s="2"/>
      <c r="AF264" s="2"/>
      <c r="AG264" s="2"/>
      <c r="AH264" s="2" t="s">
        <v>7049</v>
      </c>
      <c r="AI264" s="2" t="s">
        <v>7048</v>
      </c>
      <c r="AJ264" s="2"/>
      <c r="AK264" s="2"/>
      <c r="AL264" s="2" t="s">
        <v>6728</v>
      </c>
      <c r="AM264" s="22" t="s">
        <v>7277</v>
      </c>
      <c r="AN264" s="2"/>
      <c r="AO264" s="2" t="s">
        <v>7198</v>
      </c>
      <c r="AP264" s="2" t="s">
        <v>6929</v>
      </c>
      <c r="AQ264" s="2" t="s">
        <v>6816</v>
      </c>
      <c r="AR264" s="16" t="s">
        <v>7197</v>
      </c>
      <c r="AS264" s="2" t="s">
        <v>6707</v>
      </c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</row>
    <row r="265" spans="3:58" ht="17.25" customHeight="1">
      <c r="C265" s="1">
        <v>44017</v>
      </c>
      <c r="E265" s="2" t="s">
        <v>7005</v>
      </c>
      <c r="F265" s="15"/>
      <c r="G265" s="2" t="s">
        <v>7007</v>
      </c>
      <c r="H265" s="2" t="s">
        <v>7006</v>
      </c>
      <c r="I265" s="2"/>
      <c r="J265" s="2">
        <v>1</v>
      </c>
      <c r="K265" s="2"/>
      <c r="L265" s="3">
        <v>46.75</v>
      </c>
      <c r="M265" s="3">
        <v>4.67</v>
      </c>
      <c r="N265" s="3">
        <v>2.52</v>
      </c>
      <c r="O265" s="3">
        <v>3.68</v>
      </c>
      <c r="P265" s="3">
        <f>3.68-3.68</f>
        <v>0</v>
      </c>
      <c r="Q265" s="6">
        <f t="shared" ref="Q265:Q266" si="577">+L265-M265-N265+P265</f>
        <v>39.559999999999995</v>
      </c>
      <c r="R265" s="3"/>
      <c r="S265" s="3">
        <v>32.74</v>
      </c>
      <c r="T265" s="3">
        <v>2.58</v>
      </c>
      <c r="U265" s="3"/>
      <c r="V265" s="3"/>
      <c r="W265" s="3"/>
      <c r="X265" s="2">
        <f t="shared" ref="X265:X266" si="578">+S265+T265++U265+V265-W265</f>
        <v>35.32</v>
      </c>
      <c r="Y265" s="6">
        <f t="shared" ref="Y265:Y266" si="579">+Q265-X265</f>
        <v>4.2399999999999949</v>
      </c>
      <c r="Z265" s="2"/>
      <c r="AA265" s="2"/>
      <c r="AB265" s="2"/>
      <c r="AC265" s="3"/>
      <c r="AD265" s="2"/>
      <c r="AE265" s="2"/>
      <c r="AF265" s="2"/>
      <c r="AG265" s="2"/>
      <c r="AH265" s="2" t="s">
        <v>7009</v>
      </c>
      <c r="AI265" s="2" t="s">
        <v>7008</v>
      </c>
      <c r="AJ265" s="2"/>
      <c r="AK265" s="2"/>
      <c r="AL265" s="2" t="s">
        <v>6781</v>
      </c>
      <c r="AM265" s="2" t="s">
        <v>7248</v>
      </c>
      <c r="AN265" s="2"/>
      <c r="AO265" s="2" t="s">
        <v>7124</v>
      </c>
      <c r="AP265" s="2" t="s">
        <v>6931</v>
      </c>
      <c r="AQ265" s="2" t="s">
        <v>7015</v>
      </c>
      <c r="AR265" s="16" t="s">
        <v>7125</v>
      </c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</row>
    <row r="266" spans="3:58" ht="17.25" customHeight="1">
      <c r="C266" s="1">
        <v>44017</v>
      </c>
      <c r="E266" s="2" t="s">
        <v>6529</v>
      </c>
      <c r="F266" s="15"/>
      <c r="G266" s="2" t="s">
        <v>7026</v>
      </c>
      <c r="H266" s="2" t="s">
        <v>7025</v>
      </c>
      <c r="I266" s="2"/>
      <c r="J266" s="2">
        <v>1</v>
      </c>
      <c r="K266" s="2"/>
      <c r="L266" s="3">
        <v>31.5</v>
      </c>
      <c r="M266" s="3">
        <v>3.15</v>
      </c>
      <c r="N266" s="3">
        <v>1.8</v>
      </c>
      <c r="O266" s="3">
        <v>2.6</v>
      </c>
      <c r="P266" s="3">
        <f>2.6-2.6</f>
        <v>0</v>
      </c>
      <c r="Q266" s="6">
        <f t="shared" si="577"/>
        <v>26.55</v>
      </c>
      <c r="R266" s="3"/>
      <c r="S266" s="3">
        <v>17.72</v>
      </c>
      <c r="T266" s="3">
        <v>1.46</v>
      </c>
      <c r="U266" s="3"/>
      <c r="V266" s="3"/>
      <c r="W266" s="3"/>
      <c r="X266" s="2">
        <f t="shared" si="578"/>
        <v>19.18</v>
      </c>
      <c r="Y266" s="6">
        <f t="shared" si="579"/>
        <v>7.370000000000001</v>
      </c>
      <c r="Z266" s="2"/>
      <c r="AA266" s="2"/>
      <c r="AB266" s="2"/>
      <c r="AC266" s="3"/>
      <c r="AD266" s="2"/>
      <c r="AE266" s="2"/>
      <c r="AF266" s="2"/>
      <c r="AG266" s="2"/>
      <c r="AH266" s="2" t="s">
        <v>7020</v>
      </c>
      <c r="AI266" s="2" t="s">
        <v>7019</v>
      </c>
      <c r="AJ266" s="2"/>
      <c r="AK266" s="2"/>
      <c r="AL266" s="2" t="s">
        <v>6728</v>
      </c>
      <c r="AM266" s="16" t="s">
        <v>7598</v>
      </c>
      <c r="AN266" s="2"/>
      <c r="AO266" s="2" t="s">
        <v>7034</v>
      </c>
      <c r="AP266" s="2" t="s">
        <v>6931</v>
      </c>
      <c r="AQ266" s="2" t="s">
        <v>6717</v>
      </c>
      <c r="AR266" s="16" t="s">
        <v>7033</v>
      </c>
      <c r="AS266" s="16" t="s">
        <v>7505</v>
      </c>
      <c r="AT266" s="2" t="s">
        <v>7822</v>
      </c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</row>
    <row r="267" spans="3:58" ht="17.25" customHeight="1">
      <c r="C267" s="1">
        <v>44017</v>
      </c>
      <c r="E267" s="2" t="s">
        <v>7010</v>
      </c>
      <c r="F267" s="15"/>
      <c r="G267" s="2" t="s">
        <v>7022</v>
      </c>
      <c r="H267" s="2" t="s">
        <v>7021</v>
      </c>
      <c r="I267" s="2"/>
      <c r="J267" s="2">
        <v>1</v>
      </c>
      <c r="K267" s="2"/>
      <c r="L267" s="3">
        <v>59.5</v>
      </c>
      <c r="M267" s="3">
        <v>5.95</v>
      </c>
      <c r="N267" s="3">
        <v>3.08</v>
      </c>
      <c r="O267" s="3">
        <v>3.57</v>
      </c>
      <c r="P267" s="3">
        <f>3.57-3.57</f>
        <v>0</v>
      </c>
      <c r="Q267" s="6">
        <f t="shared" ref="Q267" si="580">+L267-M267-N267+P267</f>
        <v>50.47</v>
      </c>
      <c r="R267" s="3"/>
      <c r="S267" s="3">
        <v>45.07</v>
      </c>
      <c r="T267" s="3">
        <v>2.7</v>
      </c>
      <c r="U267" s="3"/>
      <c r="V267" s="3"/>
      <c r="W267" s="3"/>
      <c r="X267" s="2">
        <f t="shared" ref="X267" si="581">+S267+T267++U267+V267-W267</f>
        <v>47.77</v>
      </c>
      <c r="Y267" s="6">
        <f t="shared" ref="Y267" si="582">+Q267-X267</f>
        <v>2.6999999999999957</v>
      </c>
      <c r="Z267" s="2"/>
      <c r="AA267" s="2"/>
      <c r="AB267" s="2"/>
      <c r="AC267" s="3"/>
      <c r="AD267" s="2"/>
      <c r="AE267" s="2"/>
      <c r="AF267" s="2"/>
      <c r="AG267" s="2"/>
      <c r="AH267" s="2" t="s">
        <v>7024</v>
      </c>
      <c r="AI267" s="2" t="s">
        <v>7023</v>
      </c>
      <c r="AJ267" s="2"/>
      <c r="AK267" s="2"/>
      <c r="AL267" s="2" t="s">
        <v>6728</v>
      </c>
      <c r="AM267" s="16" t="s">
        <v>7252</v>
      </c>
      <c r="AN267" s="2"/>
      <c r="AO267" s="2" t="s">
        <v>7225</v>
      </c>
      <c r="AP267" s="2" t="s">
        <v>6931</v>
      </c>
      <c r="AQ267" s="2" t="s">
        <v>6956</v>
      </c>
      <c r="AR267" s="16" t="s">
        <v>7196</v>
      </c>
      <c r="AS267" s="2" t="s">
        <v>7147</v>
      </c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</row>
    <row r="268" spans="3:58" ht="17.25" customHeight="1">
      <c r="C268" s="1">
        <v>44017</v>
      </c>
      <c r="E268" s="2" t="s">
        <v>6529</v>
      </c>
      <c r="F268" s="15"/>
      <c r="G268" s="2" t="s">
        <v>7018</v>
      </c>
      <c r="H268" s="2" t="s">
        <v>7832</v>
      </c>
      <c r="I268" s="2"/>
      <c r="J268" s="2">
        <v>1</v>
      </c>
      <c r="K268" s="2"/>
      <c r="L268" s="3">
        <v>31.5</v>
      </c>
      <c r="M268" s="3">
        <v>3.15</v>
      </c>
      <c r="N268" s="3">
        <v>1.69</v>
      </c>
      <c r="O268" s="3">
        <v>0</v>
      </c>
      <c r="P268" s="3">
        <v>0</v>
      </c>
      <c r="Q268" s="6">
        <f t="shared" ref="Q268" si="583">+L268-M268-N268+P268</f>
        <v>26.66</v>
      </c>
      <c r="R268" s="3"/>
      <c r="S268" s="3">
        <v>17.72</v>
      </c>
      <c r="T268" s="3">
        <v>2.04</v>
      </c>
      <c r="U268" s="3"/>
      <c r="V268" s="3"/>
      <c r="W268" s="3"/>
      <c r="X268" s="2">
        <f t="shared" ref="X268" si="584">+S268+T268++U268+V268-W268</f>
        <v>19.759999999999998</v>
      </c>
      <c r="Y268" s="6">
        <f t="shared" ref="Y268" si="585">+Q268-X268</f>
        <v>6.9000000000000021</v>
      </c>
      <c r="Z268" s="2"/>
      <c r="AA268" s="2"/>
      <c r="AB268" s="2"/>
      <c r="AC268" s="3"/>
      <c r="AD268" s="2"/>
      <c r="AE268" s="2"/>
      <c r="AF268" s="2"/>
      <c r="AG268" s="2"/>
      <c r="AH268" s="2" t="s">
        <v>7017</v>
      </c>
      <c r="AI268" s="2" t="s">
        <v>7016</v>
      </c>
      <c r="AJ268" s="2"/>
      <c r="AK268" s="2"/>
      <c r="AL268" s="2" t="s">
        <v>2926</v>
      </c>
      <c r="AM268" s="16" t="s">
        <v>7834</v>
      </c>
      <c r="AN268" s="2"/>
      <c r="AO268" s="2" t="s">
        <v>7035</v>
      </c>
      <c r="AP268" s="2" t="s">
        <v>6931</v>
      </c>
      <c r="AQ268" s="2" t="s">
        <v>6717</v>
      </c>
      <c r="AR268" s="16" t="s">
        <v>7036</v>
      </c>
      <c r="AS268" s="16" t="s">
        <v>7058</v>
      </c>
      <c r="AT268" s="5" t="s">
        <v>8277</v>
      </c>
      <c r="AU268" s="2" t="s">
        <v>8470</v>
      </c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</row>
    <row r="269" spans="3:58" ht="17.25" customHeight="1">
      <c r="C269" s="1">
        <v>44017</v>
      </c>
      <c r="E269" s="2" t="s">
        <v>6309</v>
      </c>
      <c r="F269" s="15"/>
      <c r="G269" s="2" t="s">
        <v>7012</v>
      </c>
      <c r="H269" s="2" t="s">
        <v>7011</v>
      </c>
      <c r="I269" s="2"/>
      <c r="J269" s="2">
        <v>1</v>
      </c>
      <c r="K269" s="2"/>
      <c r="L269" s="3">
        <v>19.5</v>
      </c>
      <c r="M269" s="3">
        <v>1.95</v>
      </c>
      <c r="N269" s="3">
        <v>1.23</v>
      </c>
      <c r="O269" s="3">
        <v>0</v>
      </c>
      <c r="P269" s="3">
        <v>1.68</v>
      </c>
      <c r="Q269" s="6">
        <f t="shared" ref="Q269" si="586">+L269-M269-N269+P269</f>
        <v>18</v>
      </c>
      <c r="R269" s="3"/>
      <c r="S269" s="3">
        <v>9.49</v>
      </c>
      <c r="T269" s="3">
        <v>0.73</v>
      </c>
      <c r="U269" s="3"/>
      <c r="V269" s="3"/>
      <c r="W269" s="3">
        <v>0</v>
      </c>
      <c r="X269" s="2">
        <f t="shared" ref="X269" si="587">+S269+T269++U269+V269-W269</f>
        <v>10.220000000000001</v>
      </c>
      <c r="Y269" s="6">
        <f t="shared" ref="Y269" si="588">+Q269-X269</f>
        <v>7.7799999999999994</v>
      </c>
      <c r="Z269" s="6">
        <f>SUM(Y263:Y269)</f>
        <v>46.339999999999989</v>
      </c>
      <c r="AA269" s="34">
        <f>SUM(J263:J269)</f>
        <v>7</v>
      </c>
      <c r="AB269" s="2"/>
      <c r="AC269" s="3"/>
      <c r="AD269" s="2"/>
      <c r="AE269" s="2"/>
      <c r="AF269" s="2"/>
      <c r="AG269" s="2"/>
      <c r="AH269" s="2" t="s">
        <v>7014</v>
      </c>
      <c r="AI269" s="2" t="s">
        <v>7013</v>
      </c>
      <c r="AJ269" s="2"/>
      <c r="AK269" s="2"/>
      <c r="AL269" s="2" t="s">
        <v>6728</v>
      </c>
      <c r="AM269" s="16" t="s">
        <v>7265</v>
      </c>
      <c r="AN269" s="2"/>
      <c r="AO269" s="16" t="s">
        <v>7235</v>
      </c>
      <c r="AP269" s="2" t="s">
        <v>6929</v>
      </c>
      <c r="AQ269" s="2" t="s">
        <v>6798</v>
      </c>
      <c r="AR269" s="16" t="s">
        <v>7236</v>
      </c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</row>
    <row r="270" spans="3:58" ht="17.25" customHeight="1">
      <c r="C270" s="1">
        <v>44016</v>
      </c>
      <c r="E270" s="2" t="s">
        <v>6996</v>
      </c>
      <c r="F270" s="15"/>
      <c r="G270" s="2" t="s">
        <v>7002</v>
      </c>
      <c r="H270" s="2" t="s">
        <v>7210</v>
      </c>
      <c r="I270" s="2"/>
      <c r="J270" s="2">
        <v>1</v>
      </c>
      <c r="K270" s="2"/>
      <c r="L270" s="3">
        <v>0</v>
      </c>
      <c r="M270" s="3">
        <v>0</v>
      </c>
      <c r="N270" s="3">
        <v>0</v>
      </c>
      <c r="O270" s="3">
        <v>0</v>
      </c>
      <c r="P270" s="3">
        <f>4.64-4.64</f>
        <v>0</v>
      </c>
      <c r="Q270" s="6">
        <f t="shared" ref="Q270" si="589">+L270-M270-N270+P270</f>
        <v>0</v>
      </c>
      <c r="R270" s="3"/>
      <c r="S270" s="3">
        <v>0</v>
      </c>
      <c r="T270" s="3">
        <v>0</v>
      </c>
      <c r="U270" s="3">
        <v>0</v>
      </c>
      <c r="V270" s="3"/>
      <c r="W270" s="3"/>
      <c r="X270" s="2">
        <f t="shared" ref="X270" si="590">+S270+T270++U270+V270-W270</f>
        <v>0</v>
      </c>
      <c r="Y270" s="6">
        <f t="shared" ref="Y270" si="591">+Q270-X270</f>
        <v>0</v>
      </c>
      <c r="Z270" s="2"/>
      <c r="AA270" s="2"/>
      <c r="AB270" s="2"/>
      <c r="AC270" s="3"/>
      <c r="AD270" s="2"/>
      <c r="AE270" s="2"/>
      <c r="AF270" s="2"/>
      <c r="AG270" s="2"/>
      <c r="AH270" s="2" t="s">
        <v>7004</v>
      </c>
      <c r="AI270" s="2" t="s">
        <v>7003</v>
      </c>
      <c r="AJ270" s="2"/>
      <c r="AK270" s="2"/>
      <c r="AL270" s="2"/>
      <c r="AM270" s="2"/>
      <c r="AN270" s="2"/>
      <c r="AO270" s="5" t="s">
        <v>6799</v>
      </c>
      <c r="AP270" s="5" t="s">
        <v>6799</v>
      </c>
      <c r="AQ270" s="2" t="s">
        <v>6996</v>
      </c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</row>
    <row r="271" spans="3:58" ht="17.25" customHeight="1">
      <c r="C271" s="1">
        <v>44016</v>
      </c>
      <c r="E271" s="2" t="s">
        <v>6995</v>
      </c>
      <c r="F271" s="15"/>
      <c r="G271" s="2" t="s">
        <v>6999</v>
      </c>
      <c r="H271" s="2" t="s">
        <v>6998</v>
      </c>
      <c r="I271" s="2"/>
      <c r="J271" s="2">
        <v>2</v>
      </c>
      <c r="K271" s="2"/>
      <c r="L271" s="3">
        <v>103</v>
      </c>
      <c r="M271" s="3">
        <v>10.3</v>
      </c>
      <c r="N271" s="3">
        <v>5.0999999999999996</v>
      </c>
      <c r="O271" s="3">
        <v>6.18</v>
      </c>
      <c r="P271" s="3">
        <f>6.18-6.18</f>
        <v>0</v>
      </c>
      <c r="Q271" s="6">
        <f t="shared" ref="Q271:Q272" si="592">+L271-M271-N271+P271</f>
        <v>87.600000000000009</v>
      </c>
      <c r="R271" s="3"/>
      <c r="S271" s="3">
        <v>59.98</v>
      </c>
      <c r="T271" s="3">
        <v>3.6</v>
      </c>
      <c r="U271" s="3"/>
      <c r="V271" s="3"/>
      <c r="W271" s="3">
        <v>-11.94</v>
      </c>
      <c r="X271" s="2">
        <f t="shared" ref="X271" si="593">+S271+T271++U271+V271-W271</f>
        <v>75.52</v>
      </c>
      <c r="Y271" s="6">
        <f t="shared" ref="Y271" si="594">+Q271-X271</f>
        <v>12.080000000000013</v>
      </c>
      <c r="Z271" s="2"/>
      <c r="AA271" s="2"/>
      <c r="AB271" s="2"/>
      <c r="AC271" s="3"/>
      <c r="AD271" s="2"/>
      <c r="AE271" s="2"/>
      <c r="AF271" s="2"/>
      <c r="AG271" s="2"/>
      <c r="AH271" s="2" t="s">
        <v>7001</v>
      </c>
      <c r="AI271" s="2" t="s">
        <v>7000</v>
      </c>
      <c r="AJ271" s="2"/>
      <c r="AK271" s="2"/>
      <c r="AL271" s="2" t="s">
        <v>6781</v>
      </c>
      <c r="AM271" s="2" t="s">
        <v>7155</v>
      </c>
      <c r="AN271" s="2"/>
      <c r="AO271" s="2" t="s">
        <v>7142</v>
      </c>
      <c r="AP271" s="2" t="s">
        <v>6911</v>
      </c>
      <c r="AQ271" s="2" t="s">
        <v>6995</v>
      </c>
      <c r="AR271" s="2"/>
      <c r="AS271" s="16" t="s">
        <v>7156</v>
      </c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</row>
    <row r="272" spans="3:58" ht="17.25" customHeight="1">
      <c r="C272" s="1">
        <v>44016</v>
      </c>
      <c r="E272" s="2" t="s">
        <v>6529</v>
      </c>
      <c r="F272" s="15"/>
      <c r="G272" s="2" t="s">
        <v>6988</v>
      </c>
      <c r="H272" s="2" t="s">
        <v>6987</v>
      </c>
      <c r="I272" s="2"/>
      <c r="J272" s="2">
        <v>1</v>
      </c>
      <c r="K272" s="2"/>
      <c r="L272" s="3">
        <v>31.5</v>
      </c>
      <c r="M272" s="3">
        <v>3.15</v>
      </c>
      <c r="N272" s="3">
        <v>1.76</v>
      </c>
      <c r="O272" s="3">
        <v>1.67</v>
      </c>
      <c r="P272" s="3">
        <f>1.67-1.67</f>
        <v>0</v>
      </c>
      <c r="Q272" s="6">
        <f t="shared" si="592"/>
        <v>26.59</v>
      </c>
      <c r="R272" s="3"/>
      <c r="S272" s="3">
        <v>17.72</v>
      </c>
      <c r="T272" s="3">
        <v>0.94</v>
      </c>
      <c r="U272" s="3"/>
      <c r="V272" s="3"/>
      <c r="W272" s="3"/>
      <c r="X272" s="2">
        <f t="shared" ref="X272" si="595">+S272+T272++U272+V272-W272</f>
        <v>18.66</v>
      </c>
      <c r="Y272" s="6">
        <f t="shared" ref="Y272" si="596">+Q272-X272</f>
        <v>7.93</v>
      </c>
      <c r="Z272" s="2"/>
      <c r="AA272" s="2"/>
      <c r="AB272" s="2"/>
      <c r="AC272" s="3"/>
      <c r="AD272" s="2"/>
      <c r="AE272" s="2"/>
      <c r="AF272" s="2"/>
      <c r="AG272" s="2"/>
      <c r="AH272" s="2" t="s">
        <v>6990</v>
      </c>
      <c r="AI272" s="2" t="s">
        <v>6989</v>
      </c>
      <c r="AJ272" s="2"/>
      <c r="AK272" s="2"/>
      <c r="AL272" s="2" t="s">
        <v>6781</v>
      </c>
      <c r="AM272" s="2" t="s">
        <v>8006</v>
      </c>
      <c r="AN272" s="2"/>
      <c r="AO272" s="2" t="s">
        <v>7032</v>
      </c>
      <c r="AP272" s="2" t="s">
        <v>6931</v>
      </c>
      <c r="AQ272" s="2" t="s">
        <v>6717</v>
      </c>
      <c r="AR272" s="16" t="s">
        <v>7033</v>
      </c>
      <c r="AS272" s="16" t="s">
        <v>7057</v>
      </c>
      <c r="AT272" s="2"/>
      <c r="AU272" s="2" t="s">
        <v>7823</v>
      </c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</row>
    <row r="273" spans="3:58" ht="17.25" customHeight="1">
      <c r="C273" s="1">
        <v>44016</v>
      </c>
      <c r="E273" s="2" t="s">
        <v>6982</v>
      </c>
      <c r="F273" s="15"/>
      <c r="G273" s="2" t="s">
        <v>6984</v>
      </c>
      <c r="H273" s="2" t="s">
        <v>6983</v>
      </c>
      <c r="I273" s="2"/>
      <c r="J273" s="2">
        <v>1</v>
      </c>
      <c r="K273" s="2"/>
      <c r="L273" s="3">
        <v>35.85</v>
      </c>
      <c r="M273" s="3">
        <v>3.58</v>
      </c>
      <c r="N273" s="3">
        <v>1.99</v>
      </c>
      <c r="O273" s="3">
        <v>2.5099999999999998</v>
      </c>
      <c r="P273" s="3">
        <f>2.51-2.51</f>
        <v>0</v>
      </c>
      <c r="Q273" s="6">
        <f t="shared" ref="Q273" si="597">+L273-M273-N273+P273</f>
        <v>30.280000000000005</v>
      </c>
      <c r="R273" s="3"/>
      <c r="S273" s="3">
        <v>19.75</v>
      </c>
      <c r="T273" s="3">
        <v>1.38</v>
      </c>
      <c r="U273" s="3"/>
      <c r="V273" s="3"/>
      <c r="W273" s="3"/>
      <c r="X273" s="2">
        <f t="shared" ref="X273" si="598">+S273+T273++U273+V273-W273</f>
        <v>21.13</v>
      </c>
      <c r="Y273" s="6">
        <f t="shared" ref="Y273" si="599">+Q273-X273</f>
        <v>9.1500000000000057</v>
      </c>
      <c r="Z273" s="2"/>
      <c r="AA273" s="2"/>
      <c r="AB273" s="2"/>
      <c r="AC273" s="3"/>
      <c r="AD273" s="2"/>
      <c r="AE273" s="2"/>
      <c r="AF273" s="2"/>
      <c r="AG273" s="2"/>
      <c r="AH273" s="2" t="s">
        <v>6986</v>
      </c>
      <c r="AI273" s="2" t="s">
        <v>6985</v>
      </c>
      <c r="AJ273" s="2"/>
      <c r="AK273" s="2"/>
      <c r="AL273" s="2" t="s">
        <v>6972</v>
      </c>
      <c r="AM273" s="16" t="s">
        <v>7262</v>
      </c>
      <c r="AN273" s="2"/>
      <c r="AO273" s="2" t="s">
        <v>7195</v>
      </c>
      <c r="AP273" s="2" t="s">
        <v>6929</v>
      </c>
      <c r="AQ273" s="2" t="s">
        <v>6797</v>
      </c>
      <c r="AR273" s="16" t="s">
        <v>7325</v>
      </c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</row>
    <row r="274" spans="3:58" ht="17.25" customHeight="1">
      <c r="C274" s="1">
        <v>44016</v>
      </c>
      <c r="E274" s="2" t="s">
        <v>6722</v>
      </c>
      <c r="F274" s="15"/>
      <c r="G274" s="2" t="s">
        <v>6978</v>
      </c>
      <c r="H274" s="2" t="s">
        <v>7113</v>
      </c>
      <c r="I274" s="2"/>
      <c r="J274" s="2">
        <v>1</v>
      </c>
      <c r="K274" s="2"/>
      <c r="L274" s="3">
        <v>23.75</v>
      </c>
      <c r="M274" s="3">
        <v>2.37</v>
      </c>
      <c r="N274" s="3">
        <v>1.39</v>
      </c>
      <c r="O274" s="3">
        <v>1.07</v>
      </c>
      <c r="P274" s="3">
        <f>1.07-1.07</f>
        <v>0</v>
      </c>
      <c r="Q274" s="6">
        <f t="shared" ref="Q274:Q275" si="600">+L274-M274-N274+P274</f>
        <v>19.989999999999998</v>
      </c>
      <c r="R274" s="3"/>
      <c r="S274" s="3">
        <v>15.08</v>
      </c>
      <c r="T274" s="3">
        <v>0.68</v>
      </c>
      <c r="U274" s="3"/>
      <c r="V274" s="3"/>
      <c r="W274" s="3"/>
      <c r="X274" s="2">
        <f t="shared" ref="X274" si="601">+S274+T274++U274+V274-W274</f>
        <v>15.76</v>
      </c>
      <c r="Y274" s="6">
        <f t="shared" ref="Y274" si="602">+Q274-X274</f>
        <v>4.2299999999999986</v>
      </c>
      <c r="Z274" s="6">
        <f>SUM(Y270:Y274)</f>
        <v>33.390000000000015</v>
      </c>
      <c r="AA274" s="34">
        <f>SUM(J270:J274)</f>
        <v>6</v>
      </c>
      <c r="AB274" s="2"/>
      <c r="AC274" s="3"/>
      <c r="AD274" s="2"/>
      <c r="AE274" s="2"/>
      <c r="AF274" s="2"/>
      <c r="AG274" s="2"/>
      <c r="AH274" s="2" t="s">
        <v>6980</v>
      </c>
      <c r="AI274" s="2" t="s">
        <v>6979</v>
      </c>
      <c r="AJ274" s="2"/>
      <c r="AK274" s="2"/>
      <c r="AL274" s="2" t="s">
        <v>6728</v>
      </c>
      <c r="AM274" s="16" t="s">
        <v>7114</v>
      </c>
      <c r="AN274" s="2"/>
      <c r="AO274" s="2" t="s">
        <v>7045</v>
      </c>
      <c r="AP274" s="2" t="s">
        <v>6929</v>
      </c>
      <c r="AQ274" s="2" t="s">
        <v>6981</v>
      </c>
      <c r="AR274" s="16" t="s">
        <v>7044</v>
      </c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</row>
    <row r="275" spans="3:58" ht="17.25" customHeight="1">
      <c r="C275" s="1">
        <v>44015</v>
      </c>
      <c r="E275" s="2" t="s">
        <v>6958</v>
      </c>
      <c r="F275" s="15"/>
      <c r="G275" s="2" t="s">
        <v>6968</v>
      </c>
      <c r="H275" s="2" t="s">
        <v>6967</v>
      </c>
      <c r="I275" s="2"/>
      <c r="J275" s="2">
        <v>1</v>
      </c>
      <c r="K275" s="2"/>
      <c r="L275" s="3">
        <v>72.5</v>
      </c>
      <c r="M275" s="3">
        <v>7.25</v>
      </c>
      <c r="N275" s="3">
        <v>3.71</v>
      </c>
      <c r="O275" s="3">
        <v>5.08</v>
      </c>
      <c r="P275" s="3">
        <f>5.08-5.08</f>
        <v>0</v>
      </c>
      <c r="Q275" s="6">
        <f t="shared" si="600"/>
        <v>61.54</v>
      </c>
      <c r="R275" s="3"/>
      <c r="S275" s="3">
        <v>45.99</v>
      </c>
      <c r="T275" s="3"/>
      <c r="U275" s="3">
        <v>4.99</v>
      </c>
      <c r="V275" s="3"/>
      <c r="W275" s="3">
        <v>4.59</v>
      </c>
      <c r="X275" s="2">
        <f t="shared" ref="X275" si="603">+S275+T275++U275+V275-W275</f>
        <v>46.39</v>
      </c>
      <c r="Y275" s="6">
        <f t="shared" ref="Y275" si="604">+Q275-X275</f>
        <v>15.149999999999999</v>
      </c>
      <c r="Z275" s="6" t="s">
        <v>6707</v>
      </c>
      <c r="AA275" s="2"/>
      <c r="AB275" s="2"/>
      <c r="AC275" s="3"/>
      <c r="AD275" s="2"/>
      <c r="AE275" s="2"/>
      <c r="AF275" s="2"/>
      <c r="AG275" s="2"/>
      <c r="AH275" s="2" t="s">
        <v>6970</v>
      </c>
      <c r="AI275" s="2" t="s">
        <v>6969</v>
      </c>
      <c r="AJ275" s="2"/>
      <c r="AK275" s="2"/>
      <c r="AL275" s="2" t="s">
        <v>2926</v>
      </c>
      <c r="AM275" s="16" t="s">
        <v>7824</v>
      </c>
      <c r="AN275" s="2"/>
      <c r="AO275" s="2" t="s">
        <v>7194</v>
      </c>
      <c r="AP275" s="2" t="s">
        <v>6912</v>
      </c>
      <c r="AQ275" s="2" t="s">
        <v>6962</v>
      </c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</row>
    <row r="276" spans="3:58" ht="17.25" customHeight="1">
      <c r="C276" s="1">
        <v>44015</v>
      </c>
      <c r="E276" s="2" t="s">
        <v>6529</v>
      </c>
      <c r="F276" s="15"/>
      <c r="G276" s="2" t="s">
        <v>6964</v>
      </c>
      <c r="H276" s="2" t="s">
        <v>6963</v>
      </c>
      <c r="I276" s="2"/>
      <c r="J276" s="2">
        <v>1</v>
      </c>
      <c r="K276" s="2"/>
      <c r="L276" s="3">
        <v>31.5</v>
      </c>
      <c r="M276" s="3">
        <v>3.15</v>
      </c>
      <c r="N276" s="3">
        <v>1.78</v>
      </c>
      <c r="O276" s="3">
        <v>2.21</v>
      </c>
      <c r="P276" s="3">
        <f>2.21-2.21</f>
        <v>0</v>
      </c>
      <c r="Q276" s="6">
        <f t="shared" ref="Q276" si="605">+L276-M276-N276+P276</f>
        <v>26.57</v>
      </c>
      <c r="R276" s="3"/>
      <c r="S276" s="3">
        <v>17.72</v>
      </c>
      <c r="T276" s="3">
        <v>1.24</v>
      </c>
      <c r="U276" s="3"/>
      <c r="V276" s="3"/>
      <c r="W276" s="3"/>
      <c r="X276" s="2">
        <f t="shared" ref="X276" si="606">+S276+T276++U276+V276-W276</f>
        <v>18.959999999999997</v>
      </c>
      <c r="Y276" s="6">
        <f t="shared" ref="Y276" si="607">+Q276-X276</f>
        <v>7.610000000000003</v>
      </c>
      <c r="Z276" s="2"/>
      <c r="AA276" s="2"/>
      <c r="AB276" s="2"/>
      <c r="AC276" s="3"/>
      <c r="AD276" s="2"/>
      <c r="AE276" s="2"/>
      <c r="AF276" s="2"/>
      <c r="AG276" s="2"/>
      <c r="AH276" s="2" t="s">
        <v>6966</v>
      </c>
      <c r="AI276" s="2" t="s">
        <v>6965</v>
      </c>
      <c r="AJ276" s="2"/>
      <c r="AK276" s="2"/>
      <c r="AL276" s="2" t="s">
        <v>6728</v>
      </c>
      <c r="AM276" s="16" t="s">
        <v>7280</v>
      </c>
      <c r="AN276" s="2"/>
      <c r="AO276" s="2" t="s">
        <v>6993</v>
      </c>
      <c r="AP276" s="2" t="s">
        <v>6931</v>
      </c>
      <c r="AQ276" s="2" t="s">
        <v>6717</v>
      </c>
      <c r="AR276" s="16" t="s">
        <v>6992</v>
      </c>
      <c r="AS276" s="16" t="s">
        <v>7246</v>
      </c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</row>
    <row r="277" spans="3:58" ht="17.25" customHeight="1">
      <c r="C277" s="1">
        <v>44015</v>
      </c>
      <c r="E277" s="2" t="s">
        <v>6951</v>
      </c>
      <c r="F277" s="15"/>
      <c r="G277" s="2" t="s">
        <v>6959</v>
      </c>
      <c r="H277" s="2" t="s">
        <v>7595</v>
      </c>
      <c r="I277" s="2"/>
      <c r="J277" s="2">
        <v>1</v>
      </c>
      <c r="K277" s="2"/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6">
        <f t="shared" ref="Q277" si="608">+L277-M277-N277+P277</f>
        <v>0</v>
      </c>
      <c r="R277" s="3"/>
      <c r="S277" s="3">
        <v>0</v>
      </c>
      <c r="T277" s="3">
        <v>0</v>
      </c>
      <c r="U277" s="3"/>
      <c r="V277" s="3"/>
      <c r="W277" s="3">
        <v>0</v>
      </c>
      <c r="X277" s="2">
        <f t="shared" ref="X277" si="609">+S277+T277++U277+V277-W277</f>
        <v>0</v>
      </c>
      <c r="Y277" s="6">
        <f t="shared" ref="Y277" si="610">+Q277-X277</f>
        <v>0</v>
      </c>
      <c r="Z277" s="2"/>
      <c r="AA277" s="2"/>
      <c r="AB277" s="2"/>
      <c r="AC277" s="3"/>
      <c r="AD277" s="2"/>
      <c r="AE277" s="2"/>
      <c r="AF277" s="2"/>
      <c r="AG277" s="2"/>
      <c r="AH277" s="2" t="s">
        <v>6961</v>
      </c>
      <c r="AI277" s="2" t="s">
        <v>6960</v>
      </c>
      <c r="AJ277" s="2"/>
      <c r="AK277" s="2"/>
      <c r="AL277" s="2" t="s">
        <v>6872</v>
      </c>
      <c r="AM277" s="16" t="s">
        <v>7205</v>
      </c>
      <c r="AN277" s="2"/>
      <c r="AO277" s="2" t="s">
        <v>7202</v>
      </c>
      <c r="AP277" s="2" t="s">
        <v>6909</v>
      </c>
      <c r="AQ277" s="2" t="s">
        <v>6957</v>
      </c>
      <c r="AR277" s="16" t="s">
        <v>7201</v>
      </c>
      <c r="AS277" s="2"/>
      <c r="AT277" s="2"/>
      <c r="AU277" s="2" t="s">
        <v>7610</v>
      </c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</row>
    <row r="278" spans="3:58" ht="17.25" customHeight="1">
      <c r="C278" s="1">
        <v>44015</v>
      </c>
      <c r="E278" s="2" t="s">
        <v>6857</v>
      </c>
      <c r="F278" s="15"/>
      <c r="G278" s="2" t="s">
        <v>6364</v>
      </c>
      <c r="H278" s="2" t="s">
        <v>6363</v>
      </c>
      <c r="I278" s="2"/>
      <c r="J278" s="2">
        <v>1</v>
      </c>
      <c r="K278" s="2"/>
      <c r="L278" s="3">
        <v>61.25</v>
      </c>
      <c r="M278" s="3">
        <v>6.12</v>
      </c>
      <c r="N278" s="3">
        <v>3.25</v>
      </c>
      <c r="O278" s="3">
        <v>5.82</v>
      </c>
      <c r="P278" s="3">
        <f>5.82-5.82</f>
        <v>0</v>
      </c>
      <c r="Q278" s="6">
        <f t="shared" ref="Q278" si="611">+L278-M278-N278+P278</f>
        <v>51.88</v>
      </c>
      <c r="R278" s="3"/>
      <c r="S278" s="3">
        <v>41.62</v>
      </c>
      <c r="T278" s="3">
        <v>3.95</v>
      </c>
      <c r="U278" s="3">
        <v>0</v>
      </c>
      <c r="V278" s="3"/>
      <c r="W278" s="3">
        <v>0</v>
      </c>
      <c r="X278" s="2">
        <f t="shared" ref="X278" si="612">+S278+T278++U278+V278-W278</f>
        <v>45.57</v>
      </c>
      <c r="Y278" s="6">
        <f t="shared" ref="Y278" si="613">+Q278-X278</f>
        <v>6.3100000000000023</v>
      </c>
      <c r="Z278" s="2"/>
      <c r="AA278" s="2"/>
      <c r="AB278" s="2"/>
      <c r="AC278" s="3"/>
      <c r="AD278" s="2"/>
      <c r="AE278" s="2"/>
      <c r="AF278" s="2"/>
      <c r="AG278" s="2"/>
      <c r="AH278" s="2" t="s">
        <v>6366</v>
      </c>
      <c r="AI278" s="2" t="s">
        <v>6365</v>
      </c>
      <c r="AJ278" s="2"/>
      <c r="AK278" s="2"/>
      <c r="AL278" s="2" t="s">
        <v>6728</v>
      </c>
      <c r="AM278" s="22" t="s">
        <v>7264</v>
      </c>
      <c r="AN278" s="2"/>
      <c r="AO278" s="2" t="s">
        <v>7234</v>
      </c>
      <c r="AP278" s="2" t="s">
        <v>6931</v>
      </c>
      <c r="AQ278" s="2" t="s">
        <v>6955</v>
      </c>
      <c r="AR278" s="16" t="s">
        <v>7038</v>
      </c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</row>
    <row r="279" spans="3:58" ht="17.25" customHeight="1">
      <c r="C279" s="1">
        <v>44015</v>
      </c>
      <c r="E279" s="2" t="s">
        <v>6863</v>
      </c>
      <c r="F279" s="15"/>
      <c r="G279" s="2" t="s">
        <v>6952</v>
      </c>
      <c r="H279" s="2" t="s">
        <v>7127</v>
      </c>
      <c r="I279" s="2"/>
      <c r="J279" s="2">
        <v>0</v>
      </c>
      <c r="K279" s="2"/>
      <c r="L279" s="3">
        <v>0</v>
      </c>
      <c r="M279" s="3">
        <v>0</v>
      </c>
      <c r="N279" s="3">
        <v>0</v>
      </c>
      <c r="O279" s="3"/>
      <c r="P279" s="3"/>
      <c r="Q279" s="6">
        <f t="shared" ref="Q279:Q280" si="614">+L279-M279-N279+P279</f>
        <v>0</v>
      </c>
      <c r="R279" s="3"/>
      <c r="S279" s="3">
        <v>0</v>
      </c>
      <c r="T279" s="3">
        <v>0</v>
      </c>
      <c r="U279" s="3">
        <v>0</v>
      </c>
      <c r="V279" s="3"/>
      <c r="W279" s="3"/>
      <c r="X279" s="2">
        <f t="shared" ref="X279" si="615">+S279+T279++U279+V279-W279</f>
        <v>0</v>
      </c>
      <c r="Y279" s="6">
        <f t="shared" ref="Y279" si="616">+Q279-X279</f>
        <v>0</v>
      </c>
      <c r="Z279" s="2"/>
      <c r="AA279" s="2"/>
      <c r="AB279" s="2"/>
      <c r="AC279" s="3"/>
      <c r="AD279" s="2"/>
      <c r="AE279" s="2"/>
      <c r="AF279" s="2"/>
      <c r="AG279" s="2"/>
      <c r="AH279" s="2" t="s">
        <v>6954</v>
      </c>
      <c r="AI279" s="2" t="s">
        <v>6953</v>
      </c>
      <c r="AJ279" s="2"/>
      <c r="AK279" s="2"/>
      <c r="AL279" s="2"/>
      <c r="AM279" s="2" t="s">
        <v>6707</v>
      </c>
      <c r="AN279" s="2" t="s">
        <v>6707</v>
      </c>
      <c r="AO279" s="5" t="s">
        <v>6799</v>
      </c>
      <c r="AP279" s="5" t="s">
        <v>6799</v>
      </c>
      <c r="AQ279" s="2" t="s">
        <v>6868</v>
      </c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</row>
    <row r="280" spans="3:58" ht="17.25" customHeight="1">
      <c r="C280" s="1">
        <v>44015</v>
      </c>
      <c r="E280" s="2" t="s">
        <v>6939</v>
      </c>
      <c r="F280" s="15"/>
      <c r="G280" s="2" t="s">
        <v>7329</v>
      </c>
      <c r="H280" s="2" t="s">
        <v>6944</v>
      </c>
      <c r="I280" s="2"/>
      <c r="J280" s="2">
        <v>1</v>
      </c>
      <c r="K280" s="2"/>
      <c r="L280" s="3">
        <v>59.5</v>
      </c>
      <c r="M280" s="3">
        <v>5.95</v>
      </c>
      <c r="N280" s="3">
        <v>3.06</v>
      </c>
      <c r="O280" s="3">
        <v>3.15</v>
      </c>
      <c r="P280" s="3">
        <f>3.15-3.15</f>
        <v>0</v>
      </c>
      <c r="Q280" s="6">
        <f t="shared" si="614"/>
        <v>50.489999999999995</v>
      </c>
      <c r="R280" s="3"/>
      <c r="S280" s="3">
        <v>41.32</v>
      </c>
      <c r="T280" s="3">
        <v>2.19</v>
      </c>
      <c r="U280" s="3">
        <v>0</v>
      </c>
      <c r="V280" s="3"/>
      <c r="W280" s="3">
        <v>0</v>
      </c>
      <c r="X280" s="2">
        <f t="shared" ref="X280" si="617">+S280+T280++U280+V280-W280</f>
        <v>43.51</v>
      </c>
      <c r="Y280" s="6">
        <f t="shared" ref="Y280" si="618">+Q280-X280</f>
        <v>6.9799999999999969</v>
      </c>
      <c r="Z280" s="2"/>
      <c r="AA280" s="2"/>
      <c r="AB280" s="2"/>
      <c r="AC280" s="3"/>
      <c r="AD280" s="2"/>
      <c r="AE280" s="2"/>
      <c r="AF280" s="2"/>
      <c r="AG280" s="2"/>
      <c r="AH280" s="2" t="s">
        <v>6946</v>
      </c>
      <c r="AI280" s="2" t="s">
        <v>6945</v>
      </c>
      <c r="AJ280" s="2"/>
      <c r="AK280" s="2"/>
      <c r="AL280" s="2" t="s">
        <v>6728</v>
      </c>
      <c r="AM280" s="16" t="s">
        <v>7251</v>
      </c>
      <c r="AN280" s="2"/>
      <c r="AO280" s="2" t="s">
        <v>7224</v>
      </c>
      <c r="AP280" s="2" t="s">
        <v>6931</v>
      </c>
      <c r="AQ280" s="2" t="s">
        <v>6956</v>
      </c>
      <c r="AR280" s="16" t="s">
        <v>7038</v>
      </c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</row>
    <row r="281" spans="3:58" ht="17.25" customHeight="1">
      <c r="C281" s="1">
        <v>44015</v>
      </c>
      <c r="E281" s="2" t="s">
        <v>6938</v>
      </c>
      <c r="F281" s="15"/>
      <c r="G281" s="2" t="s">
        <v>6941</v>
      </c>
      <c r="H281" s="2" t="s">
        <v>6940</v>
      </c>
      <c r="I281" s="2"/>
      <c r="J281" s="2">
        <v>1</v>
      </c>
      <c r="K281" s="2"/>
      <c r="L281" s="3">
        <v>84.5</v>
      </c>
      <c r="M281" s="3">
        <v>8.4499999999999993</v>
      </c>
      <c r="N281" s="3">
        <v>4.24</v>
      </c>
      <c r="O281" s="3">
        <v>5.07</v>
      </c>
      <c r="P281" s="3">
        <f>5.07-5.07</f>
        <v>0</v>
      </c>
      <c r="Q281" s="6">
        <f t="shared" ref="Q281" si="619">+L281-M281-N281+P281</f>
        <v>71.81</v>
      </c>
      <c r="R281" s="3"/>
      <c r="S281" s="3">
        <v>65.19</v>
      </c>
      <c r="T281" s="3">
        <v>3.91</v>
      </c>
      <c r="U281" s="3"/>
      <c r="V281" s="3"/>
      <c r="W281" s="3">
        <f>6.51+0.39</f>
        <v>6.8999999999999995</v>
      </c>
      <c r="X281" s="2">
        <f t="shared" ref="X281" si="620">+S281+T281++U281+V281-W281</f>
        <v>62.199999999999996</v>
      </c>
      <c r="Y281" s="6">
        <f t="shared" ref="Y281" si="621">+Q281-X281</f>
        <v>9.6100000000000065</v>
      </c>
      <c r="Z281" s="6">
        <f>SUM(Y275:Y281)</f>
        <v>45.660000000000004</v>
      </c>
      <c r="AA281" s="34">
        <f>SUM(J275:J281)</f>
        <v>6</v>
      </c>
      <c r="AB281" s="2"/>
      <c r="AC281" s="3"/>
      <c r="AD281" s="2"/>
      <c r="AE281" s="2"/>
      <c r="AF281" s="2"/>
      <c r="AG281" s="2"/>
      <c r="AH281" s="2" t="s">
        <v>6943</v>
      </c>
      <c r="AI281" s="2" t="s">
        <v>6942</v>
      </c>
      <c r="AJ281" s="2"/>
      <c r="AK281" s="2"/>
      <c r="AL281" s="2" t="s">
        <v>6728</v>
      </c>
      <c r="AM281" s="16" t="s">
        <v>7206</v>
      </c>
      <c r="AN281" s="2"/>
      <c r="AO281" s="2" t="s">
        <v>7200</v>
      </c>
      <c r="AP281" s="2" t="s">
        <v>6909</v>
      </c>
      <c r="AQ281" s="2" t="s">
        <v>6947</v>
      </c>
      <c r="AR281" s="16" t="s">
        <v>7201</v>
      </c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</row>
    <row r="282" spans="3:58" ht="17.25" customHeight="1">
      <c r="C282" s="1">
        <v>44014</v>
      </c>
      <c r="E282" s="2" t="s">
        <v>6263</v>
      </c>
      <c r="F282" s="15"/>
      <c r="G282" s="2" t="s">
        <v>6925</v>
      </c>
      <c r="H282" s="2" t="s">
        <v>6924</v>
      </c>
      <c r="I282" s="2"/>
      <c r="J282" s="2">
        <v>1</v>
      </c>
      <c r="K282" s="2"/>
      <c r="L282" s="3">
        <v>30.75</v>
      </c>
      <c r="M282" s="3">
        <v>3.07</v>
      </c>
      <c r="N282" s="3">
        <v>1.75</v>
      </c>
      <c r="O282" s="3">
        <v>2.15</v>
      </c>
      <c r="P282" s="3">
        <f>2.15-2.15</f>
        <v>0</v>
      </c>
      <c r="Q282" s="6">
        <f t="shared" ref="Q282:Q283" si="622">+L282-M282-N282+P282</f>
        <v>25.93</v>
      </c>
      <c r="R282" s="3"/>
      <c r="S282" s="3">
        <v>19.989999999999998</v>
      </c>
      <c r="T282" s="3">
        <v>1.4</v>
      </c>
      <c r="U282" s="3">
        <v>4.99</v>
      </c>
      <c r="V282" s="3"/>
      <c r="W282" s="3"/>
      <c r="X282" s="2">
        <f t="shared" ref="X282" si="623">+S282+T282++U282+V282-W282</f>
        <v>26.379999999999995</v>
      </c>
      <c r="Y282" s="38">
        <f t="shared" ref="Y282" si="624">+Q282-X282</f>
        <v>-0.44999999999999574</v>
      </c>
      <c r="Z282" s="2"/>
      <c r="AA282" s="2"/>
      <c r="AB282" s="2"/>
      <c r="AC282" s="3"/>
      <c r="AD282" s="2"/>
      <c r="AE282" s="2"/>
      <c r="AF282" s="2"/>
      <c r="AG282" s="2"/>
      <c r="AH282" s="2" t="s">
        <v>6927</v>
      </c>
      <c r="AI282" s="2" t="s">
        <v>6926</v>
      </c>
      <c r="AJ282" s="2"/>
      <c r="AK282" s="2"/>
      <c r="AL282" s="2" t="s">
        <v>6728</v>
      </c>
      <c r="AM282" s="16" t="s">
        <v>7400</v>
      </c>
      <c r="AN282" s="2"/>
      <c r="AO282" s="16" t="s">
        <v>7261</v>
      </c>
      <c r="AP282" s="2" t="s">
        <v>7189</v>
      </c>
      <c r="AQ282" s="2" t="s">
        <v>6801</v>
      </c>
      <c r="AR282" s="16" t="s">
        <v>7401</v>
      </c>
      <c r="AS282" s="2"/>
      <c r="AT282" s="2"/>
      <c r="AU282" s="2"/>
      <c r="AV282" s="16" t="s">
        <v>7027</v>
      </c>
      <c r="AW282" s="2" t="s">
        <v>7028</v>
      </c>
      <c r="AX282" s="2"/>
      <c r="AY282" s="2"/>
      <c r="AZ282" s="2"/>
      <c r="BA282" s="2"/>
      <c r="BB282" s="2"/>
      <c r="BC282" s="2"/>
      <c r="BD282" s="2"/>
      <c r="BE282" s="2"/>
      <c r="BF282" s="2"/>
    </row>
    <row r="283" spans="3:58" ht="17.25" customHeight="1">
      <c r="C283" s="1">
        <v>44014</v>
      </c>
      <c r="E283" s="2" t="s">
        <v>6918</v>
      </c>
      <c r="F283" s="15"/>
      <c r="G283" s="2" t="s">
        <v>6920</v>
      </c>
      <c r="H283" s="2" t="s">
        <v>6919</v>
      </c>
      <c r="I283" s="2"/>
      <c r="J283" s="2">
        <v>1</v>
      </c>
      <c r="K283" s="2"/>
      <c r="L283" s="3">
        <v>28.5</v>
      </c>
      <c r="M283" s="3">
        <v>2.85</v>
      </c>
      <c r="N283" s="3">
        <v>1.63</v>
      </c>
      <c r="O283" s="3">
        <v>1.71</v>
      </c>
      <c r="P283" s="3">
        <f>1.71-1.71</f>
        <v>0</v>
      </c>
      <c r="Q283" s="6">
        <f t="shared" si="622"/>
        <v>24.02</v>
      </c>
      <c r="R283" s="3"/>
      <c r="S283" s="3">
        <v>17.989999999999998</v>
      </c>
      <c r="T283" s="3">
        <v>1.44</v>
      </c>
      <c r="U283" s="3"/>
      <c r="V283" s="3"/>
      <c r="W283" s="3"/>
      <c r="X283" s="2">
        <f t="shared" ref="X283" si="625">+S283+T283++U283+V283-W283</f>
        <v>19.43</v>
      </c>
      <c r="Y283" s="6">
        <f t="shared" ref="Y283" si="626">+Q283-X283</f>
        <v>4.59</v>
      </c>
      <c r="Z283" s="2"/>
      <c r="AA283" s="2"/>
      <c r="AB283" s="2"/>
      <c r="AC283" s="3"/>
      <c r="AD283" s="2"/>
      <c r="AE283" s="2"/>
      <c r="AF283" s="2"/>
      <c r="AG283" s="2"/>
      <c r="AH283" s="2" t="s">
        <v>6922</v>
      </c>
      <c r="AI283" s="2" t="s">
        <v>6921</v>
      </c>
      <c r="AJ283" s="2"/>
      <c r="AK283" s="2"/>
      <c r="AL283" s="2" t="s">
        <v>6781</v>
      </c>
      <c r="AM283" s="2" t="s">
        <v>7409</v>
      </c>
      <c r="AN283" s="2"/>
      <c r="AO283" s="2" t="s">
        <v>7043</v>
      </c>
      <c r="AP283" s="2" t="s">
        <v>6931</v>
      </c>
      <c r="AQ283" s="2" t="s">
        <v>6923</v>
      </c>
      <c r="AR283" s="16" t="s">
        <v>7247</v>
      </c>
      <c r="AS283" s="2"/>
      <c r="AT283" s="16" t="s">
        <v>7443</v>
      </c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</row>
    <row r="284" spans="3:58" ht="17.25" customHeight="1">
      <c r="C284" s="1">
        <v>44014</v>
      </c>
      <c r="E284" s="2" t="s">
        <v>6529</v>
      </c>
      <c r="F284" s="15"/>
      <c r="G284" s="2" t="s">
        <v>6915</v>
      </c>
      <c r="H284" s="2" t="s">
        <v>6914</v>
      </c>
      <c r="I284" s="2"/>
      <c r="J284" s="2">
        <v>1</v>
      </c>
      <c r="K284" s="2"/>
      <c r="L284" s="3">
        <v>31.5</v>
      </c>
      <c r="M284" s="3">
        <v>3.15</v>
      </c>
      <c r="N284" s="3">
        <v>1.76</v>
      </c>
      <c r="O284" s="3">
        <v>1.73</v>
      </c>
      <c r="P284" s="3">
        <f>1.73-1.73</f>
        <v>0</v>
      </c>
      <c r="Q284" s="6">
        <f t="shared" ref="Q284" si="627">+L284-M284-N284+P284</f>
        <v>26.59</v>
      </c>
      <c r="R284" s="3"/>
      <c r="S284" s="3">
        <v>17.72</v>
      </c>
      <c r="T284" s="3">
        <v>0.97</v>
      </c>
      <c r="U284" s="3"/>
      <c r="V284" s="3"/>
      <c r="W284" s="3"/>
      <c r="X284" s="2">
        <f t="shared" ref="X284" si="628">+S284+T284++U284+V284-W284</f>
        <v>18.689999999999998</v>
      </c>
      <c r="Y284" s="6">
        <f t="shared" ref="Y284" si="629">+Q284-X284</f>
        <v>7.9000000000000021</v>
      </c>
      <c r="Z284" s="2"/>
      <c r="AA284" s="2"/>
      <c r="AB284" s="2"/>
      <c r="AC284" s="3"/>
      <c r="AD284" s="2"/>
      <c r="AE284" s="2"/>
      <c r="AF284" s="2"/>
      <c r="AG284" s="2"/>
      <c r="AH284" s="2" t="s">
        <v>6917</v>
      </c>
      <c r="AI284" s="2" t="s">
        <v>6916</v>
      </c>
      <c r="AJ284" s="2"/>
      <c r="AK284" s="2"/>
      <c r="AL284" s="2" t="s">
        <v>6781</v>
      </c>
      <c r="AM284" s="2" t="s">
        <v>7390</v>
      </c>
      <c r="AN284" s="2"/>
      <c r="AO284" s="2" t="s">
        <v>6991</v>
      </c>
      <c r="AP284" s="2" t="s">
        <v>6931</v>
      </c>
      <c r="AQ284" s="2" t="s">
        <v>6717</v>
      </c>
      <c r="AR284" s="16" t="s">
        <v>6992</v>
      </c>
      <c r="AS284" s="16" t="s">
        <v>7339</v>
      </c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</row>
    <row r="285" spans="3:58" ht="17.25" customHeight="1">
      <c r="C285" s="1">
        <v>44014</v>
      </c>
      <c r="E285" s="2" t="s">
        <v>6899</v>
      </c>
      <c r="F285" s="15"/>
      <c r="G285" s="2" t="s">
        <v>6901</v>
      </c>
      <c r="H285" s="2" t="s">
        <v>6900</v>
      </c>
      <c r="I285" s="2"/>
      <c r="J285" s="2">
        <v>1</v>
      </c>
      <c r="K285" s="2"/>
      <c r="L285" s="3">
        <v>72.5</v>
      </c>
      <c r="M285" s="3">
        <v>7.25</v>
      </c>
      <c r="N285" s="3">
        <v>3.68</v>
      </c>
      <c r="O285" s="3">
        <v>4.3499999999999996</v>
      </c>
      <c r="P285" s="3">
        <f>4.35-4.35</f>
        <v>0</v>
      </c>
      <c r="Q285" s="6">
        <f t="shared" ref="Q285" si="630">+L285-M285-N285+P285</f>
        <v>61.57</v>
      </c>
      <c r="R285" s="3"/>
      <c r="S285" s="3">
        <v>46.99</v>
      </c>
      <c r="T285" s="3"/>
      <c r="U285" s="3">
        <v>4.99</v>
      </c>
      <c r="V285" s="3"/>
      <c r="W285" s="3">
        <v>4.6900000000000004</v>
      </c>
      <c r="X285" s="2">
        <f t="shared" ref="X285" si="631">+S285+T285++U285+V285-W285</f>
        <v>47.290000000000006</v>
      </c>
      <c r="Y285" s="6">
        <f t="shared" ref="Y285" si="632">+Q285-X285</f>
        <v>14.279999999999994</v>
      </c>
      <c r="Z285" s="6">
        <f>SUM(Y282:Y285)</f>
        <v>26.32</v>
      </c>
      <c r="AA285" s="34">
        <f>SUM(J282:J285)</f>
        <v>4</v>
      </c>
      <c r="AB285" s="2"/>
      <c r="AC285" s="3"/>
      <c r="AD285" s="2"/>
      <c r="AE285" s="2"/>
      <c r="AF285" s="2"/>
      <c r="AG285" s="2"/>
      <c r="AH285" s="2" t="s">
        <v>6903</v>
      </c>
      <c r="AI285" s="2" t="s">
        <v>6902</v>
      </c>
      <c r="AJ285" s="2"/>
      <c r="AK285" s="2"/>
      <c r="AL285" s="2" t="s">
        <v>6728</v>
      </c>
      <c r="AM285" s="16" t="s">
        <v>7149</v>
      </c>
      <c r="AN285" s="2"/>
      <c r="AO285" s="16" t="s">
        <v>7122</v>
      </c>
      <c r="AP285" s="2" t="s">
        <v>6904</v>
      </c>
      <c r="AQ285" s="2" t="s">
        <v>6905</v>
      </c>
      <c r="AR285" s="16" t="s">
        <v>7038</v>
      </c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</row>
    <row r="286" spans="3:58" ht="17.25" customHeight="1">
      <c r="C286" s="1">
        <v>44013</v>
      </c>
      <c r="E286" s="2" t="s">
        <v>6863</v>
      </c>
      <c r="F286" s="15"/>
      <c r="G286" s="2" t="s">
        <v>6865</v>
      </c>
      <c r="H286" s="2" t="s">
        <v>6864</v>
      </c>
      <c r="I286" s="2"/>
      <c r="J286" s="2">
        <v>2</v>
      </c>
      <c r="K286" s="2"/>
      <c r="L286" s="3">
        <v>67.099999999999994</v>
      </c>
      <c r="M286" s="3">
        <v>6.71</v>
      </c>
      <c r="N286" s="3">
        <v>3.84</v>
      </c>
      <c r="O286" s="3">
        <v>6.72</v>
      </c>
      <c r="P286" s="3">
        <f>6.72-6.72</f>
        <v>0</v>
      </c>
      <c r="Q286" s="6">
        <f t="shared" ref="Q286" si="633">+L286-M286-N286+P286</f>
        <v>56.55</v>
      </c>
      <c r="R286" s="3"/>
      <c r="S286" s="3">
        <v>33.9</v>
      </c>
      <c r="T286" s="3">
        <v>3.9</v>
      </c>
      <c r="U286" s="3">
        <v>5</v>
      </c>
      <c r="V286" s="3"/>
      <c r="W286" s="3">
        <v>0</v>
      </c>
      <c r="X286" s="2">
        <f t="shared" ref="X286" si="634">+S286+T286++U286+V286-W286</f>
        <v>42.8</v>
      </c>
      <c r="Y286" s="6">
        <f t="shared" ref="Y286" si="635">+Q286-X286</f>
        <v>13.75</v>
      </c>
      <c r="Z286" s="2"/>
      <c r="AA286" s="2"/>
      <c r="AB286" s="2"/>
      <c r="AC286" s="3"/>
      <c r="AD286" s="2"/>
      <c r="AE286" s="2"/>
      <c r="AF286" s="2"/>
      <c r="AG286" s="2"/>
      <c r="AH286" s="2" t="s">
        <v>6867</v>
      </c>
      <c r="AI286" s="2" t="s">
        <v>6866</v>
      </c>
      <c r="AJ286" s="2"/>
      <c r="AK286" s="2"/>
      <c r="AL286" s="2" t="s">
        <v>6781</v>
      </c>
      <c r="AM286" s="2" t="s">
        <v>7157</v>
      </c>
      <c r="AN286" s="2"/>
      <c r="AO286" s="2" t="s">
        <v>7126</v>
      </c>
      <c r="AP286" s="2" t="s">
        <v>6911</v>
      </c>
      <c r="AQ286" s="2" t="s">
        <v>6868</v>
      </c>
      <c r="AR286" s="16" t="s">
        <v>7156</v>
      </c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</row>
    <row r="287" spans="3:58" ht="17.25" customHeight="1">
      <c r="C287" s="1">
        <v>44013</v>
      </c>
      <c r="E287" s="2" t="s">
        <v>6857</v>
      </c>
      <c r="F287" s="15"/>
      <c r="G287" s="2" t="s">
        <v>6859</v>
      </c>
      <c r="H287" s="2" t="s">
        <v>6858</v>
      </c>
      <c r="I287" s="2"/>
      <c r="J287" s="2">
        <v>1</v>
      </c>
      <c r="K287" s="2"/>
      <c r="L287" s="3">
        <v>61.25</v>
      </c>
      <c r="M287" s="3">
        <v>6.12</v>
      </c>
      <c r="N287" s="3">
        <v>3.17</v>
      </c>
      <c r="O287" s="3">
        <v>3.89</v>
      </c>
      <c r="P287" s="3">
        <f>3.89-3.89</f>
        <v>0</v>
      </c>
      <c r="Q287" s="6">
        <f t="shared" ref="Q287" si="636">+L287-M287-N287+P287</f>
        <v>51.96</v>
      </c>
      <c r="R287" s="3"/>
      <c r="S287" s="3">
        <v>41.62</v>
      </c>
      <c r="T287" s="3">
        <v>2.64</v>
      </c>
      <c r="U287" s="3">
        <v>0</v>
      </c>
      <c r="V287" s="3"/>
      <c r="W287" s="3">
        <v>0</v>
      </c>
      <c r="X287" s="2">
        <f t="shared" ref="X287" si="637">+S287+T287++U287+V287-W287</f>
        <v>44.26</v>
      </c>
      <c r="Y287" s="6">
        <f t="shared" ref="Y287" si="638">+Q287-X287</f>
        <v>7.7000000000000028</v>
      </c>
      <c r="Z287" s="2"/>
      <c r="AA287" s="2"/>
      <c r="AB287" s="2"/>
      <c r="AC287" s="3"/>
      <c r="AD287" s="2"/>
      <c r="AE287" s="2"/>
      <c r="AF287" s="2"/>
      <c r="AG287" s="2"/>
      <c r="AH287" s="2" t="s">
        <v>6861</v>
      </c>
      <c r="AI287" s="2" t="s">
        <v>6860</v>
      </c>
      <c r="AJ287" s="2"/>
      <c r="AK287" s="2"/>
      <c r="AL287" s="2" t="s">
        <v>6781</v>
      </c>
      <c r="AM287" s="16" t="s">
        <v>7249</v>
      </c>
      <c r="AN287" s="2"/>
      <c r="AO287" s="2" t="s">
        <v>6930</v>
      </c>
      <c r="AP287" s="2" t="s">
        <v>6931</v>
      </c>
      <c r="AQ287" s="2" t="s">
        <v>6862</v>
      </c>
      <c r="AR287" s="16" t="s">
        <v>6889</v>
      </c>
      <c r="AS287" s="29" t="s">
        <v>7250</v>
      </c>
      <c r="AT287" s="2" t="s">
        <v>7410</v>
      </c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</row>
    <row r="288" spans="3:58" ht="17.25" customHeight="1">
      <c r="C288" s="1">
        <v>44013</v>
      </c>
      <c r="E288" s="2" t="s">
        <v>6263</v>
      </c>
      <c r="F288" s="15"/>
      <c r="G288" s="2" t="s">
        <v>6854</v>
      </c>
      <c r="H288" s="2" t="s">
        <v>6853</v>
      </c>
      <c r="I288" s="2"/>
      <c r="J288" s="2">
        <v>1</v>
      </c>
      <c r="K288" s="2"/>
      <c r="L288" s="3">
        <v>28.95</v>
      </c>
      <c r="M288" s="3">
        <v>2.89</v>
      </c>
      <c r="N288" s="3">
        <v>1.66</v>
      </c>
      <c r="O288" s="3">
        <v>2.0299999999999998</v>
      </c>
      <c r="P288" s="3">
        <f>2.03-2.03</f>
        <v>0</v>
      </c>
      <c r="Q288" s="6">
        <f t="shared" ref="Q288:Q289" si="639">+L288-M288-N288+P288</f>
        <v>24.4</v>
      </c>
      <c r="R288" s="3"/>
      <c r="S288" s="3">
        <v>15.21</v>
      </c>
      <c r="T288" s="3">
        <v>1.07</v>
      </c>
      <c r="U288" s="3"/>
      <c r="V288" s="3"/>
      <c r="W288" s="3"/>
      <c r="X288" s="2">
        <f t="shared" ref="X288:X290" si="640">+S288+T288++U288+V288-W288</f>
        <v>16.28</v>
      </c>
      <c r="Y288" s="6">
        <f t="shared" ref="Y288:Y290" si="641">+Q288-X288</f>
        <v>8.1199999999999974</v>
      </c>
      <c r="Z288" s="2"/>
      <c r="AA288" s="2"/>
      <c r="AB288" s="2"/>
      <c r="AC288" s="3"/>
      <c r="AD288" s="2"/>
      <c r="AE288" s="2"/>
      <c r="AF288" s="2"/>
      <c r="AG288" s="2"/>
      <c r="AH288" s="2" t="s">
        <v>6856</v>
      </c>
      <c r="AI288" s="2" t="s">
        <v>6855</v>
      </c>
      <c r="AJ288" s="2"/>
      <c r="AK288" s="2"/>
      <c r="AL288" s="2" t="s">
        <v>6728</v>
      </c>
      <c r="AM288" s="16" t="s">
        <v>7260</v>
      </c>
      <c r="AN288" s="2"/>
      <c r="AO288" s="16" t="s">
        <v>7232</v>
      </c>
      <c r="AP288" s="2" t="s">
        <v>7189</v>
      </c>
      <c r="AQ288" s="2" t="s">
        <v>6801</v>
      </c>
      <c r="AR288" s="16" t="s">
        <v>7188</v>
      </c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</row>
    <row r="289" spans="3:58" ht="17.25" customHeight="1">
      <c r="C289" s="1">
        <v>44013</v>
      </c>
      <c r="E289" s="2" t="s">
        <v>6309</v>
      </c>
      <c r="F289" s="15"/>
      <c r="G289" s="2" t="s">
        <v>6850</v>
      </c>
      <c r="H289" s="2" t="s">
        <v>6849</v>
      </c>
      <c r="I289" s="2"/>
      <c r="J289" s="2">
        <v>1</v>
      </c>
      <c r="K289" s="2"/>
      <c r="L289" s="3">
        <v>19.5</v>
      </c>
      <c r="M289" s="3">
        <v>1.95</v>
      </c>
      <c r="N289" s="3">
        <v>1.22</v>
      </c>
      <c r="O289" s="3">
        <v>1.76</v>
      </c>
      <c r="P289" s="3">
        <f>1.76-1.76</f>
        <v>0</v>
      </c>
      <c r="Q289" s="6">
        <f t="shared" si="639"/>
        <v>16.330000000000002</v>
      </c>
      <c r="R289" s="3"/>
      <c r="S289" s="3">
        <v>6.99</v>
      </c>
      <c r="T289" s="3">
        <v>0.54</v>
      </c>
      <c r="U289" s="3"/>
      <c r="V289" s="3"/>
      <c r="W289" s="3">
        <v>0</v>
      </c>
      <c r="X289" s="2">
        <f t="shared" si="640"/>
        <v>7.53</v>
      </c>
      <c r="Y289" s="6">
        <f t="shared" si="641"/>
        <v>8.8000000000000007</v>
      </c>
      <c r="Z289" s="2"/>
      <c r="AA289" s="2"/>
      <c r="AB289" s="2"/>
      <c r="AC289" s="3"/>
      <c r="AD289" s="2"/>
      <c r="AE289" s="2"/>
      <c r="AF289" s="2"/>
      <c r="AG289" s="2"/>
      <c r="AH289" s="2" t="s">
        <v>6852</v>
      </c>
      <c r="AI289" s="2" t="s">
        <v>6851</v>
      </c>
      <c r="AJ289" s="2"/>
      <c r="AK289" s="2" t="s">
        <v>6707</v>
      </c>
      <c r="AL289" s="2"/>
      <c r="AM289" s="2"/>
      <c r="AN289" s="2"/>
      <c r="AO289" s="2" t="s">
        <v>6934</v>
      </c>
      <c r="AP289" s="2" t="s">
        <v>6743</v>
      </c>
      <c r="AQ289" s="2" t="s">
        <v>6798</v>
      </c>
      <c r="AR289" s="16" t="s">
        <v>6935</v>
      </c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</row>
    <row r="290" spans="3:58" ht="17.25" customHeight="1">
      <c r="C290" s="1">
        <v>44013</v>
      </c>
      <c r="E290" s="2" t="s">
        <v>6840</v>
      </c>
      <c r="F290" s="15"/>
      <c r="G290" s="2" t="s">
        <v>6846</v>
      </c>
      <c r="H290" s="2" t="s">
        <v>6975</v>
      </c>
      <c r="I290" s="2"/>
      <c r="J290" s="2">
        <v>0</v>
      </c>
      <c r="K290" s="2"/>
      <c r="L290" s="3">
        <v>0</v>
      </c>
      <c r="M290" s="3">
        <v>0</v>
      </c>
      <c r="N290" s="3">
        <v>0</v>
      </c>
      <c r="O290" s="3">
        <v>0</v>
      </c>
      <c r="P290" s="3">
        <f>4.35-4.35</f>
        <v>0</v>
      </c>
      <c r="Q290" s="6">
        <v>0</v>
      </c>
      <c r="R290" s="3"/>
      <c r="S290" s="3">
        <v>0</v>
      </c>
      <c r="T290" s="3"/>
      <c r="U290" s="3">
        <v>0</v>
      </c>
      <c r="V290" s="3"/>
      <c r="W290" s="3">
        <v>0</v>
      </c>
      <c r="X290" s="2">
        <f t="shared" si="640"/>
        <v>0</v>
      </c>
      <c r="Y290" s="6">
        <f t="shared" si="641"/>
        <v>0</v>
      </c>
      <c r="Z290" s="2"/>
      <c r="AA290" s="2"/>
      <c r="AB290" s="2"/>
      <c r="AC290" s="3"/>
      <c r="AD290" s="2"/>
      <c r="AE290" s="2"/>
      <c r="AF290" s="2"/>
      <c r="AG290" s="2"/>
      <c r="AH290" s="2" t="s">
        <v>6845</v>
      </c>
      <c r="AI290" s="2" t="s">
        <v>6844</v>
      </c>
      <c r="AJ290" s="2"/>
      <c r="AK290" s="2"/>
      <c r="AL290" s="2"/>
      <c r="AM290" s="2"/>
      <c r="AN290" s="2"/>
      <c r="AO290" s="2"/>
      <c r="AP290" s="5" t="s">
        <v>6799</v>
      </c>
      <c r="AQ290" s="2" t="s">
        <v>6906</v>
      </c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</row>
    <row r="291" spans="3:58" ht="17.25" customHeight="1">
      <c r="C291" s="1">
        <v>44013</v>
      </c>
      <c r="E291" s="2" t="s">
        <v>6263</v>
      </c>
      <c r="F291" s="15"/>
      <c r="G291" s="2" t="s">
        <v>6841</v>
      </c>
      <c r="H291" s="2" t="s">
        <v>7229</v>
      </c>
      <c r="I291" s="2"/>
      <c r="J291" s="2">
        <v>1</v>
      </c>
      <c r="K291" s="2"/>
      <c r="L291" s="3">
        <v>28.95</v>
      </c>
      <c r="M291" s="3">
        <v>2.89</v>
      </c>
      <c r="N291" s="3">
        <v>1.66</v>
      </c>
      <c r="O291" s="3">
        <v>2.0299999999999998</v>
      </c>
      <c r="P291" s="3">
        <f>2.03-2.03</f>
        <v>0</v>
      </c>
      <c r="Q291" s="6">
        <f t="shared" ref="Q291" si="642">+L291-M291-N291+P291</f>
        <v>24.4</v>
      </c>
      <c r="R291" s="3"/>
      <c r="S291" s="3">
        <v>19.989999999999998</v>
      </c>
      <c r="T291" s="3">
        <v>1.75</v>
      </c>
      <c r="U291" s="3">
        <v>4.99</v>
      </c>
      <c r="V291" s="3"/>
      <c r="W291" s="3"/>
      <c r="X291" s="2">
        <f t="shared" ref="X291" si="643">+S291+T291++U291+V291-W291</f>
        <v>26.729999999999997</v>
      </c>
      <c r="Y291" s="38">
        <f t="shared" ref="Y291" si="644">+Q291-X291</f>
        <v>-2.3299999999999983</v>
      </c>
      <c r="Z291" s="6">
        <f>SUM(Y286:Y291)</f>
        <v>36.040000000000006</v>
      </c>
      <c r="AA291" s="34">
        <f>SUM(J286:J291)</f>
        <v>6</v>
      </c>
      <c r="AB291" s="2"/>
      <c r="AC291" s="3"/>
      <c r="AD291" s="2"/>
      <c r="AE291" s="2"/>
      <c r="AF291" s="2"/>
      <c r="AG291" s="2"/>
      <c r="AH291" s="2" t="s">
        <v>6843</v>
      </c>
      <c r="AI291" s="2" t="s">
        <v>6842</v>
      </c>
      <c r="AJ291" s="2"/>
      <c r="AK291" s="2"/>
      <c r="AL291" s="2" t="s">
        <v>6728</v>
      </c>
      <c r="AM291" s="16" t="s">
        <v>7258</v>
      </c>
      <c r="AN291" s="2"/>
      <c r="AO291" s="16" t="s">
        <v>7230</v>
      </c>
      <c r="AP291" s="2" t="s">
        <v>7189</v>
      </c>
      <c r="AQ291" s="2" t="s">
        <v>6801</v>
      </c>
      <c r="AR291" s="16" t="s">
        <v>7231</v>
      </c>
      <c r="AS291" s="16" t="s">
        <v>7056</v>
      </c>
      <c r="AT291" s="2" t="s">
        <v>6707</v>
      </c>
      <c r="AU291" s="5" t="s">
        <v>7259</v>
      </c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</row>
    <row r="292" spans="3:58" ht="17.25" customHeight="1">
      <c r="C292" s="1"/>
      <c r="E292" s="2"/>
      <c r="F292" s="15"/>
      <c r="G292" s="2"/>
      <c r="H292" s="2"/>
      <c r="I292" s="2"/>
      <c r="J292" s="3">
        <f>SUM(J75:J291)</f>
        <v>217</v>
      </c>
      <c r="K292" s="2"/>
      <c r="L292" s="3">
        <f>SUM(L279:L291)</f>
        <v>513</v>
      </c>
      <c r="M292" s="3">
        <f>SUM(M279:M291)</f>
        <v>51.28</v>
      </c>
      <c r="N292" s="3">
        <f>SUM(N279:N291)</f>
        <v>27.67</v>
      </c>
      <c r="O292" s="3">
        <f>SUM(O279:O291)</f>
        <v>34.590000000000003</v>
      </c>
      <c r="P292" s="3">
        <f>SUM(P284:P291)</f>
        <v>0</v>
      </c>
      <c r="Q292" s="3">
        <f>SUM(Q279:Q291)</f>
        <v>434.04999999999995</v>
      </c>
      <c r="R292" s="3"/>
      <c r="S292" s="3">
        <f t="shared" ref="S292:X292" si="645">SUM(S279:S291)</f>
        <v>326.90999999999997</v>
      </c>
      <c r="T292" s="3">
        <f t="shared" si="645"/>
        <v>19.809999999999999</v>
      </c>
      <c r="U292" s="3">
        <f t="shared" si="645"/>
        <v>19.97</v>
      </c>
      <c r="V292" s="3">
        <f t="shared" si="645"/>
        <v>0</v>
      </c>
      <c r="W292" s="3">
        <f t="shared" si="645"/>
        <v>11.59</v>
      </c>
      <c r="X292" s="3">
        <f t="shared" si="645"/>
        <v>355.1</v>
      </c>
      <c r="Y292" s="8">
        <f>SUM(Y75:Y291)</f>
        <v>1848.0099999999998</v>
      </c>
      <c r="Z292" s="8">
        <f>SUM(Z75:Z291)</f>
        <v>1876.66</v>
      </c>
      <c r="AA292" s="47">
        <f>SUM(AA75:AA291)</f>
        <v>218</v>
      </c>
      <c r="AB292" s="2"/>
      <c r="AC292" s="3"/>
      <c r="AD292" s="2"/>
      <c r="AE292" s="2"/>
      <c r="AF292" s="2"/>
      <c r="AG292" s="12" t="s">
        <v>8029</v>
      </c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</row>
    <row r="293" spans="3:58" ht="17.25" customHeight="1">
      <c r="C293" s="1"/>
      <c r="E293" s="2"/>
      <c r="F293" s="15"/>
      <c r="G293" s="2"/>
      <c r="H293" s="2"/>
      <c r="I293" s="2"/>
      <c r="J293" s="2"/>
      <c r="K293" s="2"/>
      <c r="L293" s="3"/>
      <c r="M293" s="3"/>
      <c r="N293" s="3"/>
      <c r="O293" s="3"/>
      <c r="P293" s="3"/>
      <c r="Q293" s="6"/>
      <c r="R293" s="3"/>
      <c r="S293" s="3"/>
      <c r="T293" s="3"/>
      <c r="U293" s="3"/>
      <c r="V293" s="3"/>
      <c r="W293" s="3"/>
      <c r="X293" s="2"/>
      <c r="Y293" s="6">
        <v>1707</v>
      </c>
      <c r="Z293" s="2"/>
      <c r="AA293" s="2"/>
      <c r="AB293" s="2"/>
      <c r="AC293" s="3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 t="s">
        <v>6707</v>
      </c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</row>
    <row r="294" spans="3:58" ht="17.25" customHeight="1">
      <c r="C294" s="1"/>
      <c r="E294" s="2"/>
      <c r="F294" s="15"/>
      <c r="G294" s="2"/>
      <c r="H294" s="2"/>
      <c r="I294" s="2"/>
      <c r="J294" s="2"/>
      <c r="K294" s="2"/>
      <c r="L294" s="3"/>
      <c r="M294" s="3"/>
      <c r="N294" s="3"/>
      <c r="O294" s="3"/>
      <c r="P294" s="3"/>
      <c r="Q294" s="6"/>
      <c r="R294" s="3"/>
      <c r="S294" s="3"/>
      <c r="T294" s="3"/>
      <c r="U294" s="3"/>
      <c r="V294" s="3"/>
      <c r="W294" s="3"/>
      <c r="X294" s="2"/>
      <c r="Y294" s="6"/>
      <c r="Z294" s="2"/>
      <c r="AA294" s="2"/>
      <c r="AB294" s="2"/>
      <c r="AC294" s="3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</row>
    <row r="295" spans="3:58" ht="17.25" customHeight="1">
      <c r="C295" s="1">
        <v>44012</v>
      </c>
      <c r="E295" s="2" t="s">
        <v>6263</v>
      </c>
      <c r="F295" s="15"/>
      <c r="G295" s="2" t="s">
        <v>6825</v>
      </c>
      <c r="H295" s="2" t="s">
        <v>1109</v>
      </c>
      <c r="I295" s="2"/>
      <c r="J295" s="2">
        <v>1</v>
      </c>
      <c r="K295" s="2"/>
      <c r="L295" s="3">
        <v>28.95</v>
      </c>
      <c r="M295" s="3">
        <v>2.89</v>
      </c>
      <c r="N295" s="3">
        <v>1.65</v>
      </c>
      <c r="O295" s="3">
        <v>1.84</v>
      </c>
      <c r="P295" s="3">
        <f>1.84-1.84</f>
        <v>0</v>
      </c>
      <c r="Q295" s="6">
        <f t="shared" ref="Q295:Q297" si="646">+L295-M295-N295+P295</f>
        <v>24.41</v>
      </c>
      <c r="R295" s="3"/>
      <c r="S295" s="3">
        <v>15.21</v>
      </c>
      <c r="T295" s="3">
        <v>1.52</v>
      </c>
      <c r="U295" s="3"/>
      <c r="V295" s="3"/>
      <c r="W295" s="3"/>
      <c r="X295" s="2">
        <f t="shared" ref="X295:X297" si="647">+S295+T295++U295+V295-W295</f>
        <v>16.73</v>
      </c>
      <c r="Y295" s="6">
        <f t="shared" ref="Y295:Y297" si="648">+Q295-X295</f>
        <v>7.68</v>
      </c>
      <c r="Z295" s="2"/>
      <c r="AA295" s="2"/>
      <c r="AB295" s="2"/>
      <c r="AC295" s="3"/>
      <c r="AD295" s="2"/>
      <c r="AE295" s="2"/>
      <c r="AF295" s="2"/>
      <c r="AG295" s="2"/>
      <c r="AH295" s="2" t="s">
        <v>1111</v>
      </c>
      <c r="AI295" s="2" t="s">
        <v>1110</v>
      </c>
      <c r="AJ295" s="2"/>
      <c r="AK295" s="2"/>
      <c r="AL295" s="2" t="s">
        <v>6728</v>
      </c>
      <c r="AM295" s="16" t="s">
        <v>7257</v>
      </c>
      <c r="AN295" s="2"/>
      <c r="AO295" s="16" t="s">
        <v>7233</v>
      </c>
      <c r="AP295" s="2" t="s">
        <v>7189</v>
      </c>
      <c r="AQ295" s="2" t="s">
        <v>6801</v>
      </c>
      <c r="AR295" s="16" t="s">
        <v>7188</v>
      </c>
      <c r="AS295" s="2"/>
      <c r="AT295" s="16" t="s">
        <v>7158</v>
      </c>
      <c r="AU295" t="s">
        <v>7159</v>
      </c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</row>
    <row r="296" spans="3:58" ht="17.25" customHeight="1">
      <c r="C296" s="1">
        <v>44012</v>
      </c>
      <c r="E296" s="2" t="s">
        <v>6529</v>
      </c>
      <c r="F296" s="15"/>
      <c r="G296" s="2" t="s">
        <v>6822</v>
      </c>
      <c r="H296" s="2" t="s">
        <v>6821</v>
      </c>
      <c r="I296" s="2"/>
      <c r="J296" s="2">
        <v>1</v>
      </c>
      <c r="K296" s="2"/>
      <c r="L296" s="3">
        <v>31.5</v>
      </c>
      <c r="M296" s="3">
        <v>3.15</v>
      </c>
      <c r="N296" s="3">
        <v>1.78</v>
      </c>
      <c r="O296" s="3">
        <v>2.21</v>
      </c>
      <c r="P296" s="3">
        <v>2.21</v>
      </c>
      <c r="Q296" s="6">
        <f t="shared" si="646"/>
        <v>28.78</v>
      </c>
      <c r="R296" s="3"/>
      <c r="S296" s="3">
        <v>17.72</v>
      </c>
      <c r="T296" s="3">
        <v>1.24</v>
      </c>
      <c r="U296" s="3"/>
      <c r="V296" s="3"/>
      <c r="W296" s="3"/>
      <c r="X296" s="2">
        <f t="shared" si="647"/>
        <v>18.959999999999997</v>
      </c>
      <c r="Y296" s="6">
        <f t="shared" si="648"/>
        <v>9.8200000000000038</v>
      </c>
      <c r="Z296" s="2"/>
      <c r="AA296" s="2"/>
      <c r="AB296" s="2"/>
      <c r="AC296" s="3"/>
      <c r="AD296" s="2"/>
      <c r="AE296" s="2"/>
      <c r="AF296" s="2"/>
      <c r="AG296" s="2"/>
      <c r="AH296" s="2" t="s">
        <v>6824</v>
      </c>
      <c r="AI296" s="2" t="s">
        <v>6823</v>
      </c>
      <c r="AJ296" s="2"/>
      <c r="AK296" s="2"/>
      <c r="AL296" s="2" t="s">
        <v>7031</v>
      </c>
      <c r="AM296" s="16" t="s">
        <v>7030</v>
      </c>
      <c r="AN296" s="2"/>
      <c r="AO296" s="2" t="s">
        <v>6836</v>
      </c>
      <c r="AP296" s="2" t="s">
        <v>6907</v>
      </c>
      <c r="AQ296" s="2" t="s">
        <v>6717</v>
      </c>
      <c r="AR296" s="16" t="s">
        <v>6891</v>
      </c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</row>
    <row r="297" spans="3:58" ht="17.25" customHeight="1">
      <c r="C297" s="1">
        <v>44012</v>
      </c>
      <c r="E297" s="2" t="s">
        <v>1922</v>
      </c>
      <c r="F297" s="15"/>
      <c r="G297" s="2" t="s">
        <v>6818</v>
      </c>
      <c r="H297" s="2" t="s">
        <v>6817</v>
      </c>
      <c r="I297" s="2"/>
      <c r="J297" s="2">
        <v>1</v>
      </c>
      <c r="K297" s="2"/>
      <c r="L297" s="3">
        <v>25.5</v>
      </c>
      <c r="M297" s="3">
        <v>2.5499999999999998</v>
      </c>
      <c r="N297" s="3">
        <v>1.52</v>
      </c>
      <c r="O297" s="3">
        <v>2.52</v>
      </c>
      <c r="P297" s="3">
        <v>2.52</v>
      </c>
      <c r="Q297" s="6">
        <f t="shared" si="646"/>
        <v>23.95</v>
      </c>
      <c r="R297" s="3"/>
      <c r="S297" s="3">
        <v>11.99</v>
      </c>
      <c r="T297" s="3">
        <v>1.1299999999999999</v>
      </c>
      <c r="U297" s="3"/>
      <c r="V297" s="3"/>
      <c r="W297" s="3"/>
      <c r="X297" s="3">
        <f t="shared" si="647"/>
        <v>13.120000000000001</v>
      </c>
      <c r="Y297" s="6">
        <f t="shared" si="648"/>
        <v>10.829999999999998</v>
      </c>
      <c r="Z297" s="2"/>
      <c r="AA297" s="2"/>
      <c r="AB297" s="2"/>
      <c r="AC297" s="3"/>
      <c r="AD297" s="2"/>
      <c r="AE297" s="2"/>
      <c r="AF297" s="2"/>
      <c r="AG297" s="2"/>
      <c r="AH297" s="2" t="s">
        <v>6820</v>
      </c>
      <c r="AI297" s="2" t="s">
        <v>6819</v>
      </c>
      <c r="AJ297" s="2"/>
      <c r="AK297" s="2"/>
      <c r="AL297" s="2" t="s">
        <v>7116</v>
      </c>
      <c r="AM297" s="2" t="s">
        <v>7115</v>
      </c>
      <c r="AN297" s="2"/>
      <c r="AO297" s="2" t="s">
        <v>7042</v>
      </c>
      <c r="AP297" s="2" t="s">
        <v>6929</v>
      </c>
      <c r="AQ297" s="2" t="s">
        <v>6816</v>
      </c>
      <c r="AR297" s="16" t="s">
        <v>7180</v>
      </c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</row>
    <row r="298" spans="3:58" ht="17.25" customHeight="1">
      <c r="C298" s="1">
        <v>44012</v>
      </c>
      <c r="E298" s="2" t="s">
        <v>6795</v>
      </c>
      <c r="F298" s="15"/>
      <c r="G298" s="2" t="s">
        <v>6794</v>
      </c>
      <c r="H298" s="2" t="s">
        <v>6796</v>
      </c>
      <c r="I298" s="2"/>
      <c r="J298" s="2">
        <v>0</v>
      </c>
      <c r="K298" s="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2"/>
      <c r="AA298" s="2"/>
      <c r="AB298" s="2"/>
      <c r="AC298" s="3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5" t="s">
        <v>6799</v>
      </c>
      <c r="AQ298" s="5"/>
      <c r="AR298" s="2"/>
      <c r="AS298" s="2"/>
      <c r="AT298" s="2"/>
      <c r="AU298" s="2" t="s">
        <v>6847</v>
      </c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</row>
    <row r="299" spans="3:58" ht="17.25" customHeight="1">
      <c r="C299" s="1">
        <v>44012</v>
      </c>
      <c r="E299" s="2" t="s">
        <v>6309</v>
      </c>
      <c r="F299" s="15"/>
      <c r="G299" s="2" t="s">
        <v>6813</v>
      </c>
      <c r="H299" s="2" t="s">
        <v>6933</v>
      </c>
      <c r="I299" s="2"/>
      <c r="J299" s="2">
        <v>1</v>
      </c>
      <c r="K299" s="2"/>
      <c r="L299" s="3">
        <v>19.5</v>
      </c>
      <c r="M299" s="3">
        <v>1.95</v>
      </c>
      <c r="N299" s="3">
        <v>1.1599999999999999</v>
      </c>
      <c r="O299" s="3">
        <v>1.24</v>
      </c>
      <c r="P299" s="3">
        <f>1.24-1.24</f>
        <v>0</v>
      </c>
      <c r="Q299" s="6">
        <f t="shared" ref="Q299:Q300" si="649">+L299-M299-N299+P299</f>
        <v>16.39</v>
      </c>
      <c r="R299" s="3"/>
      <c r="S299" s="3">
        <v>9.99</v>
      </c>
      <c r="T299" s="3">
        <v>0</v>
      </c>
      <c r="U299" s="3"/>
      <c r="V299" s="3"/>
      <c r="W299" s="3">
        <v>0</v>
      </c>
      <c r="X299" s="2">
        <f t="shared" ref="X299:X300" si="650">+S299+T299++U299+V299-W299</f>
        <v>9.99</v>
      </c>
      <c r="Y299" s="6">
        <f t="shared" ref="Y299:Y300" si="651">+Q299-X299</f>
        <v>6.4</v>
      </c>
      <c r="Z299" s="2"/>
      <c r="AA299" s="2"/>
      <c r="AB299" s="2"/>
      <c r="AC299" s="3"/>
      <c r="AD299" s="2"/>
      <c r="AE299" s="2"/>
      <c r="AF299" s="2"/>
      <c r="AG299" s="2"/>
      <c r="AH299" s="2" t="s">
        <v>6815</v>
      </c>
      <c r="AI299" s="2" t="s">
        <v>6814</v>
      </c>
      <c r="AJ299" s="2"/>
      <c r="AK299" s="2"/>
      <c r="AL299" s="2"/>
      <c r="AM299" s="2"/>
      <c r="AN299" s="2"/>
      <c r="AO299" s="2" t="s">
        <v>6936</v>
      </c>
      <c r="AP299" s="2" t="s">
        <v>6743</v>
      </c>
      <c r="AQ299" s="2" t="s">
        <v>6798</v>
      </c>
      <c r="AR299" s="16" t="s">
        <v>6937</v>
      </c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</row>
    <row r="300" spans="3:58" ht="17.25" customHeight="1">
      <c r="C300" s="1">
        <v>44012</v>
      </c>
      <c r="E300" s="2" t="s">
        <v>6786</v>
      </c>
      <c r="F300" s="15"/>
      <c r="G300" s="2" t="s">
        <v>6810</v>
      </c>
      <c r="H300" s="2" t="s">
        <v>6809</v>
      </c>
      <c r="I300" s="2"/>
      <c r="J300" s="2">
        <v>1</v>
      </c>
      <c r="K300" s="2"/>
      <c r="L300" s="3">
        <v>83.5</v>
      </c>
      <c r="M300" s="3">
        <v>8.35</v>
      </c>
      <c r="N300" s="3">
        <v>4.2300000000000004</v>
      </c>
      <c r="O300" s="3">
        <v>5.85</v>
      </c>
      <c r="P300" s="3">
        <f>5.85-5.85</f>
        <v>0</v>
      </c>
      <c r="Q300" s="6">
        <f t="shared" si="649"/>
        <v>70.92</v>
      </c>
      <c r="R300" s="3"/>
      <c r="S300" s="3">
        <v>65.19</v>
      </c>
      <c r="T300" s="3">
        <v>4.57</v>
      </c>
      <c r="U300" s="3"/>
      <c r="V300" s="3"/>
      <c r="W300" s="3">
        <f>6.51+0.45</f>
        <v>6.96</v>
      </c>
      <c r="X300" s="2">
        <f t="shared" si="650"/>
        <v>62.79999999999999</v>
      </c>
      <c r="Y300" s="6">
        <f t="shared" si="651"/>
        <v>8.1200000000000117</v>
      </c>
      <c r="Z300" s="2"/>
      <c r="AA300" s="2"/>
      <c r="AB300" s="2"/>
      <c r="AC300" s="3"/>
      <c r="AD300" s="2"/>
      <c r="AE300" s="2"/>
      <c r="AF300" s="2"/>
      <c r="AG300" s="2"/>
      <c r="AH300" s="2" t="s">
        <v>6812</v>
      </c>
      <c r="AI300" s="2" t="s">
        <v>6811</v>
      </c>
      <c r="AJ300" s="2"/>
      <c r="AK300" s="2"/>
      <c r="AL300" s="2"/>
      <c r="AM300" s="2" t="s">
        <v>6707</v>
      </c>
      <c r="AN300" s="2"/>
      <c r="AO300" s="2" t="s">
        <v>7154</v>
      </c>
      <c r="AP300" s="2" t="s">
        <v>6909</v>
      </c>
      <c r="AQ300" s="2" t="s">
        <v>6908</v>
      </c>
      <c r="AR300" s="16" t="s">
        <v>7152</v>
      </c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</row>
    <row r="301" spans="3:58" ht="17.25" customHeight="1">
      <c r="C301" s="1">
        <v>44012</v>
      </c>
      <c r="E301" s="2" t="s">
        <v>2685</v>
      </c>
      <c r="F301" s="15"/>
      <c r="G301" s="2" t="s">
        <v>6806</v>
      </c>
      <c r="H301" s="2" t="s">
        <v>6805</v>
      </c>
      <c r="I301" s="2"/>
      <c r="J301" s="2">
        <v>1</v>
      </c>
      <c r="K301" s="2"/>
      <c r="L301" s="3">
        <v>84.5</v>
      </c>
      <c r="M301" s="3">
        <v>8.4499999999999993</v>
      </c>
      <c r="N301" s="3">
        <v>4.2300000000000004</v>
      </c>
      <c r="O301" s="3">
        <v>4.7300000000000004</v>
      </c>
      <c r="P301" s="3">
        <f>4.73-4.73</f>
        <v>0</v>
      </c>
      <c r="Q301" s="6">
        <f t="shared" ref="Q301" si="652">+L301-M301-N301+P301</f>
        <v>71.819999999999993</v>
      </c>
      <c r="R301" s="3"/>
      <c r="S301" s="3">
        <v>65.19</v>
      </c>
      <c r="T301" s="3">
        <v>4.1399999999999997</v>
      </c>
      <c r="U301" s="3"/>
      <c r="V301" s="3"/>
      <c r="W301" s="3">
        <f>6.51+0.41</f>
        <v>6.92</v>
      </c>
      <c r="X301" s="2">
        <f t="shared" ref="X301" si="653">+S301+T301++U301+V301-W301</f>
        <v>62.41</v>
      </c>
      <c r="Y301" s="6">
        <f t="shared" ref="Y301" si="654">+Q301-X301</f>
        <v>9.4099999999999966</v>
      </c>
      <c r="Z301" s="2"/>
      <c r="AA301" s="2"/>
      <c r="AB301" s="2"/>
      <c r="AC301" s="3"/>
      <c r="AD301" s="2"/>
      <c r="AE301" s="2"/>
      <c r="AF301" s="2"/>
      <c r="AG301" s="2"/>
      <c r="AH301" s="2" t="s">
        <v>6808</v>
      </c>
      <c r="AI301" s="2" t="s">
        <v>6807</v>
      </c>
      <c r="AJ301" s="2"/>
      <c r="AK301" s="2"/>
      <c r="AL301" s="2" t="s">
        <v>6872</v>
      </c>
      <c r="AM301" s="16" t="s">
        <v>7181</v>
      </c>
      <c r="AN301" s="2"/>
      <c r="AO301" s="2" t="s">
        <v>7153</v>
      </c>
      <c r="AP301" s="2" t="s">
        <v>6909</v>
      </c>
      <c r="AQ301" s="2" t="s">
        <v>6910</v>
      </c>
      <c r="AR301" s="16" t="s">
        <v>7152</v>
      </c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</row>
    <row r="302" spans="3:58" ht="17.25" customHeight="1">
      <c r="C302" s="1">
        <v>44012</v>
      </c>
      <c r="E302" s="2" t="s">
        <v>6309</v>
      </c>
      <c r="F302" s="15"/>
      <c r="G302" s="2" t="s">
        <v>7742</v>
      </c>
      <c r="H302" s="2" t="s">
        <v>6802</v>
      </c>
      <c r="I302" s="2"/>
      <c r="J302" s="2">
        <v>1</v>
      </c>
      <c r="K302" s="2"/>
      <c r="L302" s="3">
        <v>19.5</v>
      </c>
      <c r="M302" s="3">
        <v>1.95</v>
      </c>
      <c r="N302" s="3">
        <v>1.24</v>
      </c>
      <c r="O302" s="3">
        <v>1.76</v>
      </c>
      <c r="P302" s="3">
        <f>1.76-1.76</f>
        <v>0</v>
      </c>
      <c r="Q302" s="6">
        <f t="shared" ref="Q302:Q303" si="655">+L302-M302-N302+P302</f>
        <v>16.310000000000002</v>
      </c>
      <c r="R302" s="3"/>
      <c r="S302" s="3">
        <v>6.99</v>
      </c>
      <c r="T302" s="3">
        <v>0.63</v>
      </c>
      <c r="U302" s="3"/>
      <c r="V302" s="3"/>
      <c r="W302" s="3">
        <v>0</v>
      </c>
      <c r="X302" s="2">
        <f t="shared" ref="X302" si="656">+S302+T302++U302+V302-W302</f>
        <v>7.62</v>
      </c>
      <c r="Y302" s="6">
        <f t="shared" ref="Y302" si="657">+Q302-X302</f>
        <v>8.6900000000000013</v>
      </c>
      <c r="Z302" s="2"/>
      <c r="AA302" s="2"/>
      <c r="AB302" s="2"/>
      <c r="AC302" s="3"/>
      <c r="AD302" s="2"/>
      <c r="AE302" s="2"/>
      <c r="AF302" s="2"/>
      <c r="AG302" s="2"/>
      <c r="AH302" s="2" t="s">
        <v>6804</v>
      </c>
      <c r="AI302" s="2" t="s">
        <v>6803</v>
      </c>
      <c r="AJ302" s="2"/>
      <c r="AK302" s="2"/>
      <c r="AL302" s="2" t="s">
        <v>6707</v>
      </c>
      <c r="AM302" s="2"/>
      <c r="AN302" s="2"/>
      <c r="AO302" s="16" t="s">
        <v>7041</v>
      </c>
      <c r="AP302" s="2" t="s">
        <v>6743</v>
      </c>
      <c r="AQ302" s="2" t="s">
        <v>6798</v>
      </c>
      <c r="AR302" s="16" t="s">
        <v>7038</v>
      </c>
      <c r="AS302" s="2"/>
      <c r="AT302" s="2"/>
      <c r="AU302" s="2" t="s">
        <v>7966</v>
      </c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</row>
    <row r="303" spans="3:58" ht="17.25" customHeight="1">
      <c r="C303" s="1">
        <v>44012</v>
      </c>
      <c r="E303" s="2" t="s">
        <v>6785</v>
      </c>
      <c r="F303" s="15"/>
      <c r="G303" s="2" t="s">
        <v>6788</v>
      </c>
      <c r="H303" s="2" t="s">
        <v>6787</v>
      </c>
      <c r="I303" s="2"/>
      <c r="J303" s="2">
        <v>1</v>
      </c>
      <c r="K303" s="2"/>
      <c r="L303" s="3">
        <v>35.5</v>
      </c>
      <c r="M303" s="3">
        <v>3.55</v>
      </c>
      <c r="N303" s="3">
        <v>1.97</v>
      </c>
      <c r="O303" s="3">
        <v>2.4900000000000002</v>
      </c>
      <c r="P303" s="3">
        <f>2.49-2.49</f>
        <v>0</v>
      </c>
      <c r="Q303" s="6">
        <f t="shared" si="655"/>
        <v>29.98</v>
      </c>
      <c r="R303" s="3"/>
      <c r="S303" s="3">
        <v>16.989999999999998</v>
      </c>
      <c r="T303" s="3">
        <v>1.54</v>
      </c>
      <c r="U303" s="3">
        <v>5</v>
      </c>
      <c r="V303" s="3"/>
      <c r="W303" s="3">
        <v>0</v>
      </c>
      <c r="X303" s="2">
        <f t="shared" ref="X303" si="658">+S303+T303++U303+V303-W303</f>
        <v>23.529999999999998</v>
      </c>
      <c r="Y303" s="6">
        <f t="shared" ref="Y303" si="659">+Q303-X303</f>
        <v>6.4500000000000028</v>
      </c>
      <c r="Z303" s="6">
        <f>SUM(Y295:Y303)</f>
        <v>67.40000000000002</v>
      </c>
      <c r="AA303" s="2"/>
      <c r="AB303" s="2"/>
      <c r="AC303" s="3"/>
      <c r="AD303" s="2"/>
      <c r="AE303" s="2"/>
      <c r="AF303" s="2"/>
      <c r="AG303" s="2"/>
      <c r="AH303" s="2" t="s">
        <v>6790</v>
      </c>
      <c r="AI303" s="2" t="s">
        <v>6789</v>
      </c>
      <c r="AJ303" s="2"/>
      <c r="AK303" s="2"/>
      <c r="AL303" s="2" t="s">
        <v>6833</v>
      </c>
      <c r="AM303" s="2" t="s">
        <v>7129</v>
      </c>
      <c r="AN303" s="2"/>
      <c r="AO303" s="2" t="s">
        <v>6887</v>
      </c>
      <c r="AP303" s="2" t="s">
        <v>6911</v>
      </c>
      <c r="AQ303" s="2" t="s">
        <v>6791</v>
      </c>
      <c r="AR303" s="16" t="s">
        <v>7130</v>
      </c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</row>
    <row r="304" spans="3:58" ht="17.25" customHeight="1">
      <c r="C304" s="1">
        <v>44011</v>
      </c>
      <c r="E304" s="2" t="s">
        <v>5709</v>
      </c>
      <c r="F304" s="15"/>
      <c r="G304" s="2" t="s">
        <v>6770</v>
      </c>
      <c r="H304" s="2" t="s">
        <v>6769</v>
      </c>
      <c r="I304" s="2"/>
      <c r="J304" s="2">
        <v>1</v>
      </c>
      <c r="K304" s="2"/>
      <c r="L304" s="3">
        <v>72.5</v>
      </c>
      <c r="M304" s="3">
        <v>7.25</v>
      </c>
      <c r="N304" s="3">
        <v>3.67</v>
      </c>
      <c r="O304" s="3">
        <v>3.99</v>
      </c>
      <c r="P304" s="3">
        <f>3.99-3.99</f>
        <v>0</v>
      </c>
      <c r="Q304" s="6">
        <f t="shared" ref="Q304" si="660">+L304-M304-N304+P304</f>
        <v>61.58</v>
      </c>
      <c r="R304" s="3"/>
      <c r="S304" s="3">
        <v>46.99</v>
      </c>
      <c r="T304" s="3"/>
      <c r="U304" s="3">
        <v>4.99</v>
      </c>
      <c r="V304" s="3"/>
      <c r="W304" s="3">
        <v>4.6900000000000004</v>
      </c>
      <c r="X304" s="2">
        <f t="shared" ref="X304" si="661">+S304+T304++U304+V304-W304</f>
        <v>47.290000000000006</v>
      </c>
      <c r="Y304" s="6">
        <f t="shared" ref="Y304" si="662">+Q304-X304</f>
        <v>14.289999999999992</v>
      </c>
      <c r="Z304" s="2"/>
      <c r="AA304" s="2"/>
      <c r="AB304" s="2"/>
      <c r="AC304" s="3"/>
      <c r="AD304" s="2"/>
      <c r="AE304" s="2"/>
      <c r="AF304" s="2"/>
      <c r="AG304" s="2"/>
      <c r="AH304" s="2" t="s">
        <v>6772</v>
      </c>
      <c r="AI304" s="2" t="s">
        <v>6771</v>
      </c>
      <c r="AJ304" s="2"/>
      <c r="AK304" s="2"/>
      <c r="AL304" s="2" t="s">
        <v>6728</v>
      </c>
      <c r="AM304" s="16" t="s">
        <v>6977</v>
      </c>
      <c r="AN304" s="2"/>
      <c r="AO304" s="2" t="s">
        <v>6890</v>
      </c>
      <c r="AP304" s="2" t="s">
        <v>6912</v>
      </c>
      <c r="AQ304" s="2" t="s">
        <v>6905</v>
      </c>
      <c r="AR304" s="16" t="s">
        <v>7199</v>
      </c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</row>
    <row r="305" spans="3:58" ht="17.25" customHeight="1">
      <c r="C305" s="1">
        <v>44011</v>
      </c>
      <c r="E305" s="2" t="s">
        <v>6749</v>
      </c>
      <c r="F305" s="15"/>
      <c r="G305" s="2" t="s">
        <v>6761</v>
      </c>
      <c r="H305" s="2" t="s">
        <v>6760</v>
      </c>
      <c r="I305" s="2"/>
      <c r="J305" s="2">
        <v>1</v>
      </c>
      <c r="K305" s="2"/>
      <c r="L305" s="3">
        <v>83.5</v>
      </c>
      <c r="M305" s="3">
        <v>8.35</v>
      </c>
      <c r="N305" s="3">
        <v>4.1900000000000004</v>
      </c>
      <c r="O305" s="3">
        <v>5.01</v>
      </c>
      <c r="P305" s="3">
        <f>5.01-5.01</f>
        <v>0</v>
      </c>
      <c r="Q305" s="6">
        <f t="shared" ref="Q305:Q307" si="663">+L305-M305-N305+P305</f>
        <v>70.960000000000008</v>
      </c>
      <c r="R305" s="3"/>
      <c r="S305" s="3">
        <v>65.19</v>
      </c>
      <c r="T305" s="3">
        <v>3.91</v>
      </c>
      <c r="U305" s="3"/>
      <c r="V305" s="3"/>
      <c r="W305" s="3">
        <f>6.51+0.39</f>
        <v>6.8999999999999995</v>
      </c>
      <c r="X305" s="2">
        <f t="shared" ref="X305:X307" si="664">+S305+T305++U305+V305-W305</f>
        <v>62.199999999999996</v>
      </c>
      <c r="Y305" s="6">
        <f t="shared" ref="Y305:Y307" si="665">+Q305-X305</f>
        <v>8.7600000000000122</v>
      </c>
      <c r="Z305" s="2"/>
      <c r="AA305" s="2"/>
      <c r="AB305" s="2"/>
      <c r="AC305" s="3"/>
      <c r="AD305" s="2"/>
      <c r="AE305" s="2"/>
      <c r="AF305" s="2"/>
      <c r="AG305" s="2"/>
      <c r="AH305" s="2" t="s">
        <v>6763</v>
      </c>
      <c r="AI305" s="2" t="s">
        <v>6762</v>
      </c>
      <c r="AJ305" s="2"/>
      <c r="AK305" s="2"/>
      <c r="AL305" s="2" t="s">
        <v>6728</v>
      </c>
      <c r="AM305" s="16" t="s">
        <v>7184</v>
      </c>
      <c r="AN305" s="2"/>
      <c r="AO305" s="2" t="s">
        <v>7151</v>
      </c>
      <c r="AP305" s="2" t="s">
        <v>6909</v>
      </c>
      <c r="AQ305" s="2" t="s">
        <v>6913</v>
      </c>
      <c r="AR305" s="16" t="s">
        <v>7152</v>
      </c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</row>
    <row r="306" spans="3:58" ht="17.25" customHeight="1">
      <c r="C306" s="1">
        <v>44011</v>
      </c>
      <c r="E306" s="2" t="s">
        <v>6529</v>
      </c>
      <c r="F306" s="15"/>
      <c r="G306" s="2" t="s">
        <v>6765</v>
      </c>
      <c r="H306" s="2" t="s">
        <v>6773</v>
      </c>
      <c r="I306" s="2"/>
      <c r="J306" s="2">
        <v>1</v>
      </c>
      <c r="K306" s="2"/>
      <c r="L306" s="3">
        <v>0</v>
      </c>
      <c r="M306" s="3">
        <v>0</v>
      </c>
      <c r="N306" s="3">
        <v>0</v>
      </c>
      <c r="O306" s="3"/>
      <c r="P306" s="3">
        <f>2.6-2.6</f>
        <v>0</v>
      </c>
      <c r="Q306" s="6">
        <f t="shared" si="663"/>
        <v>0</v>
      </c>
      <c r="R306" s="3"/>
      <c r="S306" s="3">
        <v>0</v>
      </c>
      <c r="T306" s="3">
        <v>0</v>
      </c>
      <c r="U306" s="3"/>
      <c r="V306" s="3"/>
      <c r="W306" s="3"/>
      <c r="X306" s="2">
        <f t="shared" si="664"/>
        <v>0</v>
      </c>
      <c r="Y306" s="6">
        <f t="shared" si="665"/>
        <v>0</v>
      </c>
      <c r="Z306" s="2"/>
      <c r="AA306" s="2"/>
      <c r="AB306" s="2"/>
      <c r="AC306" s="3"/>
      <c r="AD306" s="2"/>
      <c r="AE306" s="2"/>
      <c r="AF306" s="2"/>
      <c r="AG306" s="2"/>
      <c r="AH306" s="2" t="s">
        <v>6767</v>
      </c>
      <c r="AI306" s="2" t="s">
        <v>6766</v>
      </c>
      <c r="AJ306" s="2"/>
      <c r="AK306" s="2"/>
      <c r="AL306" s="2"/>
      <c r="AM306" s="2"/>
      <c r="AN306" s="2"/>
      <c r="AO306" s="5" t="s">
        <v>6793</v>
      </c>
      <c r="AP306" s="5" t="s">
        <v>6717</v>
      </c>
      <c r="AQ306" s="5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</row>
    <row r="307" spans="3:58" ht="17.25" customHeight="1">
      <c r="C307" s="1">
        <v>44011</v>
      </c>
      <c r="E307" s="2" t="s">
        <v>5401</v>
      </c>
      <c r="F307" s="15"/>
      <c r="G307" s="2" t="s">
        <v>6757</v>
      </c>
      <c r="H307" s="2" t="s">
        <v>6756</v>
      </c>
      <c r="I307" s="2"/>
      <c r="J307" s="2">
        <v>1</v>
      </c>
      <c r="K307" s="2"/>
      <c r="L307" s="3">
        <v>22.99</v>
      </c>
      <c r="M307" s="3">
        <v>2.29</v>
      </c>
      <c r="N307" s="3">
        <v>1.37</v>
      </c>
      <c r="O307" s="3">
        <v>1.67</v>
      </c>
      <c r="P307" s="3">
        <f>1.67-1.67</f>
        <v>0</v>
      </c>
      <c r="Q307" s="6">
        <f t="shared" si="663"/>
        <v>19.329999999999998</v>
      </c>
      <c r="R307" s="3"/>
      <c r="S307" s="3">
        <v>13.95</v>
      </c>
      <c r="T307" s="3">
        <v>0.84</v>
      </c>
      <c r="U307" s="3"/>
      <c r="V307" s="3"/>
      <c r="W307" s="3">
        <v>1.39</v>
      </c>
      <c r="X307" s="2">
        <f t="shared" si="664"/>
        <v>13.399999999999999</v>
      </c>
      <c r="Y307" s="6">
        <f t="shared" si="665"/>
        <v>5.93</v>
      </c>
      <c r="Z307" s="2"/>
      <c r="AA307" s="2"/>
      <c r="AB307" s="2"/>
      <c r="AC307" s="3"/>
      <c r="AD307" s="2"/>
      <c r="AE307" s="2"/>
      <c r="AF307" s="2"/>
      <c r="AG307" s="2"/>
      <c r="AH307" s="2" t="s">
        <v>6759</v>
      </c>
      <c r="AI307" s="2" t="s">
        <v>6758</v>
      </c>
      <c r="AJ307" s="2"/>
      <c r="AK307" s="2"/>
      <c r="AL307" s="2" t="s">
        <v>6972</v>
      </c>
      <c r="AM307" s="16" t="s">
        <v>6971</v>
      </c>
      <c r="AN307" s="2"/>
      <c r="AO307" s="2" t="s">
        <v>6932</v>
      </c>
      <c r="AP307" s="2" t="s">
        <v>5905</v>
      </c>
      <c r="AQ307" s="2" t="s">
        <v>6403</v>
      </c>
      <c r="AR307" s="16" t="s">
        <v>6997</v>
      </c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</row>
    <row r="308" spans="3:58" ht="17.25" customHeight="1">
      <c r="C308" s="1">
        <v>44011</v>
      </c>
      <c r="E308" s="2" t="s">
        <v>6309</v>
      </c>
      <c r="F308" s="15"/>
      <c r="G308" s="2" t="s">
        <v>6735</v>
      </c>
      <c r="H308" s="2" t="s">
        <v>6734</v>
      </c>
      <c r="I308" s="2"/>
      <c r="J308" s="2">
        <v>1</v>
      </c>
      <c r="K308" s="2"/>
      <c r="L308" s="3">
        <v>19.5</v>
      </c>
      <c r="M308" s="3">
        <v>1.95</v>
      </c>
      <c r="N308" s="3">
        <v>1.23</v>
      </c>
      <c r="O308" s="3">
        <v>1.24</v>
      </c>
      <c r="P308" s="3">
        <f>1.61-1.61</f>
        <v>0</v>
      </c>
      <c r="Q308" s="6">
        <f t="shared" ref="Q308" si="666">+L308-M308-N308+P308</f>
        <v>16.32</v>
      </c>
      <c r="R308" s="3"/>
      <c r="S308" s="3">
        <v>6.99</v>
      </c>
      <c r="T308" s="3">
        <v>0.57999999999999996</v>
      </c>
      <c r="U308" s="3"/>
      <c r="V308" s="3"/>
      <c r="W308" s="3">
        <v>0</v>
      </c>
      <c r="X308" s="2">
        <f t="shared" ref="X308" si="667">+S308+T308++U308+V308-W308</f>
        <v>7.57</v>
      </c>
      <c r="Y308" s="6">
        <f t="shared" ref="Y308" si="668">+Q308-X308</f>
        <v>8.75</v>
      </c>
      <c r="Z308" s="2"/>
      <c r="AA308" s="2"/>
      <c r="AB308" s="2"/>
      <c r="AC308" s="3"/>
      <c r="AD308" s="2"/>
      <c r="AE308" s="2"/>
      <c r="AF308" s="2"/>
      <c r="AG308" s="2"/>
      <c r="AH308" s="2" t="s">
        <v>6737</v>
      </c>
      <c r="AI308" s="2" t="s">
        <v>6736</v>
      </c>
      <c r="AJ308" s="2"/>
      <c r="AK308" s="2"/>
      <c r="AL308" s="2"/>
      <c r="AM308" s="2"/>
      <c r="AN308" s="2"/>
      <c r="AO308" s="16" t="s">
        <v>7037</v>
      </c>
      <c r="AP308" s="2" t="s">
        <v>6743</v>
      </c>
      <c r="AQ308" s="2" t="s">
        <v>6615</v>
      </c>
      <c r="AR308" s="16" t="s">
        <v>7487</v>
      </c>
      <c r="AS308" s="2" t="s">
        <v>6707</v>
      </c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</row>
    <row r="309" spans="3:58" ht="17.25" customHeight="1">
      <c r="C309" s="1">
        <v>44011</v>
      </c>
      <c r="E309" s="2" t="s">
        <v>6309</v>
      </c>
      <c r="F309" s="15"/>
      <c r="G309" s="2" t="s">
        <v>6739</v>
      </c>
      <c r="H309" s="2" t="s">
        <v>6738</v>
      </c>
      <c r="I309" s="2"/>
      <c r="J309" s="2">
        <v>1</v>
      </c>
      <c r="K309" s="2"/>
      <c r="L309" s="3">
        <v>19.5</v>
      </c>
      <c r="M309" s="3">
        <v>1.95</v>
      </c>
      <c r="N309" s="3">
        <v>1.21</v>
      </c>
      <c r="O309" s="3">
        <v>1.24</v>
      </c>
      <c r="P309" s="3">
        <f>1.24-1.24</f>
        <v>0</v>
      </c>
      <c r="Q309" s="6">
        <f t="shared" ref="Q309:Q310" si="669">+L309-M309-N309+P309</f>
        <v>16.34</v>
      </c>
      <c r="R309" s="3"/>
      <c r="S309" s="3">
        <v>6.99</v>
      </c>
      <c r="T309" s="3">
        <v>0.44</v>
      </c>
      <c r="U309" s="3"/>
      <c r="V309" s="3"/>
      <c r="W309" s="3">
        <v>0</v>
      </c>
      <c r="X309" s="2">
        <f t="shared" ref="X309:X310" si="670">+S309+T309++U309+V309-W309</f>
        <v>7.4300000000000006</v>
      </c>
      <c r="Y309" s="6">
        <f t="shared" ref="Y309:Y310" si="671">+Q309-X309</f>
        <v>8.91</v>
      </c>
      <c r="Z309" s="6">
        <f>SUM(Y304:Y309)</f>
        <v>46.64</v>
      </c>
      <c r="AA309" s="2"/>
      <c r="AB309" s="2"/>
      <c r="AC309" s="3"/>
      <c r="AD309" s="2"/>
      <c r="AE309" s="2"/>
      <c r="AF309" s="2"/>
      <c r="AG309" s="2"/>
      <c r="AH309" s="2" t="s">
        <v>6741</v>
      </c>
      <c r="AI309" s="2" t="s">
        <v>6740</v>
      </c>
      <c r="AJ309" s="2"/>
      <c r="AK309" s="2"/>
      <c r="AL309" s="2"/>
      <c r="AM309" s="2"/>
      <c r="AN309" s="2"/>
      <c r="AO309" s="16" t="s">
        <v>6742</v>
      </c>
      <c r="AP309" s="2" t="s">
        <v>6743</v>
      </c>
      <c r="AQ309" s="2" t="s">
        <v>6615</v>
      </c>
      <c r="AR309" s="16" t="s">
        <v>6716</v>
      </c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</row>
    <row r="310" spans="3:58" ht="17.25" customHeight="1">
      <c r="C310" s="1">
        <v>44010</v>
      </c>
      <c r="E310" s="2" t="s">
        <v>6529</v>
      </c>
      <c r="F310" s="15"/>
      <c r="G310" s="2" t="s">
        <v>6948</v>
      </c>
      <c r="H310" s="2" t="s">
        <v>6774</v>
      </c>
      <c r="I310" s="2"/>
      <c r="J310" s="2">
        <v>1</v>
      </c>
      <c r="K310" s="2"/>
      <c r="L310" s="3">
        <v>31.5</v>
      </c>
      <c r="M310" s="3">
        <v>3.15</v>
      </c>
      <c r="N310" s="3">
        <v>1.81</v>
      </c>
      <c r="O310" s="3">
        <v>2.8</v>
      </c>
      <c r="P310" s="3">
        <f>2.8-2.8</f>
        <v>0</v>
      </c>
      <c r="Q310" s="6">
        <f t="shared" si="669"/>
        <v>26.540000000000003</v>
      </c>
      <c r="R310" s="3"/>
      <c r="S310" s="3">
        <v>17.72</v>
      </c>
      <c r="T310" s="3">
        <v>1.57</v>
      </c>
      <c r="U310" s="3"/>
      <c r="V310" s="3"/>
      <c r="W310" s="3"/>
      <c r="X310" s="2">
        <f t="shared" si="670"/>
        <v>19.29</v>
      </c>
      <c r="Y310" s="6">
        <f t="shared" si="671"/>
        <v>7.2500000000000036</v>
      </c>
      <c r="Z310" s="6"/>
      <c r="AA310" s="2"/>
      <c r="AB310" s="2"/>
      <c r="AC310" s="3"/>
      <c r="AD310" s="2"/>
      <c r="AE310" s="2"/>
      <c r="AF310" s="2"/>
      <c r="AG310" s="2"/>
      <c r="AH310" s="2" t="s">
        <v>6776</v>
      </c>
      <c r="AI310" s="2" t="s">
        <v>6775</v>
      </c>
      <c r="AJ310" s="2"/>
      <c r="AK310" s="2"/>
      <c r="AL310" s="2" t="s">
        <v>7183</v>
      </c>
      <c r="AM310" s="2" t="s">
        <v>7182</v>
      </c>
      <c r="AN310" s="2"/>
      <c r="AO310" s="10" t="s">
        <v>6777</v>
      </c>
      <c r="AP310" s="2" t="s">
        <v>3685</v>
      </c>
      <c r="AQ310" s="2" t="s">
        <v>6717</v>
      </c>
      <c r="AR310" s="16" t="s">
        <v>6778</v>
      </c>
      <c r="AS310" s="2"/>
      <c r="AT310" s="2"/>
      <c r="AU310" s="2" t="s">
        <v>6779</v>
      </c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</row>
    <row r="311" spans="3:58" ht="17.25" customHeight="1">
      <c r="C311" s="1">
        <v>44010</v>
      </c>
      <c r="E311" s="2" t="s">
        <v>6722</v>
      </c>
      <c r="F311" s="15"/>
      <c r="G311" s="2" t="s">
        <v>6724</v>
      </c>
      <c r="H311" s="2" t="s">
        <v>6723</v>
      </c>
      <c r="I311" s="2"/>
      <c r="J311" s="2">
        <v>1</v>
      </c>
      <c r="K311" s="2"/>
      <c r="L311" s="3">
        <v>23.75</v>
      </c>
      <c r="M311" s="3">
        <v>2.37</v>
      </c>
      <c r="N311" s="3">
        <v>1.44</v>
      </c>
      <c r="O311" s="3">
        <v>2.0499999999999998</v>
      </c>
      <c r="P311" s="3">
        <f>2.05-2.05</f>
        <v>0</v>
      </c>
      <c r="Q311" s="6">
        <f t="shared" ref="Q311:Q312" si="672">+L311-M311-N311+P311</f>
        <v>19.939999999999998</v>
      </c>
      <c r="R311" s="3"/>
      <c r="S311" s="3">
        <v>14.77</v>
      </c>
      <c r="T311" s="3">
        <v>1.27</v>
      </c>
      <c r="U311" s="3"/>
      <c r="V311" s="3"/>
      <c r="W311" s="3"/>
      <c r="X311" s="2">
        <f t="shared" ref="X311" si="673">+S311+T311++U311+V311-W311</f>
        <v>16.04</v>
      </c>
      <c r="Y311" s="6">
        <f t="shared" ref="Y311" si="674">+Q311-X311</f>
        <v>3.8999999999999986</v>
      </c>
      <c r="Z311" s="2"/>
      <c r="AA311" s="2"/>
      <c r="AB311" s="2"/>
      <c r="AC311" s="3"/>
      <c r="AD311" s="2"/>
      <c r="AE311" s="2"/>
      <c r="AF311" s="2"/>
      <c r="AG311" s="2"/>
      <c r="AH311" s="2" t="s">
        <v>6726</v>
      </c>
      <c r="AI311" s="2" t="s">
        <v>6725</v>
      </c>
      <c r="AJ311" s="2"/>
      <c r="AK311" s="2"/>
      <c r="AL311" s="2" t="s">
        <v>6972</v>
      </c>
      <c r="AM311" s="2" t="s">
        <v>7059</v>
      </c>
      <c r="AN311" s="2"/>
      <c r="AO311" s="2" t="s">
        <v>6928</v>
      </c>
      <c r="AP311" s="2" t="s">
        <v>6929</v>
      </c>
      <c r="AQ311" s="2" t="s">
        <v>6722</v>
      </c>
      <c r="AR311" s="16" t="s">
        <v>7148</v>
      </c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</row>
    <row r="312" spans="3:58" ht="17.25" customHeight="1">
      <c r="C312" s="1">
        <v>44010</v>
      </c>
      <c r="E312" s="2" t="s">
        <v>1559</v>
      </c>
      <c r="F312" s="15"/>
      <c r="G312" s="2" t="s">
        <v>6713</v>
      </c>
      <c r="H312" s="2" t="s">
        <v>6712</v>
      </c>
      <c r="I312" s="2"/>
      <c r="J312" s="2">
        <v>1</v>
      </c>
      <c r="K312" s="2"/>
      <c r="L312" s="3">
        <v>84.5</v>
      </c>
      <c r="M312" s="3">
        <v>8.4499999999999993</v>
      </c>
      <c r="N312" s="3">
        <v>4.28</v>
      </c>
      <c r="O312" s="3">
        <v>5.92</v>
      </c>
      <c r="P312" s="3">
        <f>5.92-5.92</f>
        <v>0</v>
      </c>
      <c r="Q312" s="6">
        <f t="shared" si="672"/>
        <v>71.77</v>
      </c>
      <c r="R312" s="3"/>
      <c r="S312" s="3">
        <v>65.19</v>
      </c>
      <c r="T312" s="3">
        <v>4.5599999999999996</v>
      </c>
      <c r="U312" s="3"/>
      <c r="V312" s="3"/>
      <c r="W312" s="3">
        <f>6.51+0.45</f>
        <v>6.96</v>
      </c>
      <c r="X312" s="2">
        <f t="shared" ref="X312" si="675">+S312+T312++U312+V312-W312</f>
        <v>62.79</v>
      </c>
      <c r="Y312" s="6">
        <f t="shared" ref="Y312" si="676">+Q312-X312</f>
        <v>8.9799999999999969</v>
      </c>
      <c r="Z312" s="2"/>
      <c r="AA312" s="2"/>
      <c r="AB312" s="2"/>
      <c r="AC312" s="3"/>
      <c r="AD312" s="2"/>
      <c r="AE312" s="2"/>
      <c r="AF312" s="2"/>
      <c r="AG312" s="2"/>
      <c r="AH312" s="2" t="s">
        <v>7112</v>
      </c>
      <c r="AI312" s="2" t="s">
        <v>7111</v>
      </c>
      <c r="AJ312" s="2"/>
      <c r="AK312" s="2"/>
      <c r="AL312" s="2" t="s">
        <v>7145</v>
      </c>
      <c r="AM312" s="16" t="s">
        <v>7146</v>
      </c>
      <c r="AN312" s="2"/>
      <c r="AO312" s="2" t="s">
        <v>7109</v>
      </c>
      <c r="AP312" s="2" t="s">
        <v>3696</v>
      </c>
      <c r="AQ312" s="2" t="s">
        <v>7110</v>
      </c>
      <c r="AR312" s="16" t="s">
        <v>7108</v>
      </c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</row>
    <row r="313" spans="3:58" ht="17.25" customHeight="1">
      <c r="C313" s="1">
        <v>44010</v>
      </c>
      <c r="E313" s="2" t="s">
        <v>1657</v>
      </c>
      <c r="F313" s="15"/>
      <c r="G313" s="2" t="s">
        <v>6709</v>
      </c>
      <c r="H313" s="2" t="s">
        <v>6708</v>
      </c>
      <c r="I313" s="2"/>
      <c r="J313" s="2">
        <v>1</v>
      </c>
      <c r="K313" s="2"/>
      <c r="L313" s="3">
        <v>84.5</v>
      </c>
      <c r="M313" s="3">
        <v>8.4499999999999993</v>
      </c>
      <c r="N313" s="3">
        <v>4.32</v>
      </c>
      <c r="O313" s="3">
        <v>6.76</v>
      </c>
      <c r="P313" s="3">
        <f>6.76-6.76</f>
        <v>0</v>
      </c>
      <c r="Q313" s="6">
        <f t="shared" ref="Q313" si="677">+L313-M313-N313+P313</f>
        <v>71.72999999999999</v>
      </c>
      <c r="R313" s="3"/>
      <c r="S313" s="3">
        <v>65.19</v>
      </c>
      <c r="T313" s="3">
        <v>5.22</v>
      </c>
      <c r="U313" s="3"/>
      <c r="V313" s="3"/>
      <c r="W313" s="3">
        <f>6.51+0.53</f>
        <v>7.04</v>
      </c>
      <c r="X313" s="2">
        <f t="shared" ref="X313" si="678">+S313+T313++U313+V313-W313</f>
        <v>63.37</v>
      </c>
      <c r="Y313" s="6">
        <f t="shared" ref="Y313" si="679">+Q313-X313</f>
        <v>8.3599999999999923</v>
      </c>
      <c r="Z313" s="2"/>
      <c r="AA313" s="2"/>
      <c r="AB313" s="2"/>
      <c r="AC313" s="3"/>
      <c r="AD313" s="2"/>
      <c r="AE313" s="2"/>
      <c r="AF313" s="2"/>
      <c r="AG313" s="2"/>
      <c r="AH313" s="2" t="s">
        <v>6711</v>
      </c>
      <c r="AI313" s="2" t="s">
        <v>6710</v>
      </c>
      <c r="AJ313" s="2"/>
      <c r="AK313" s="2"/>
      <c r="AL313" s="2" t="s">
        <v>7145</v>
      </c>
      <c r="AM313" s="16" t="s">
        <v>7144</v>
      </c>
      <c r="AN313" s="2"/>
      <c r="AO313" s="2" t="s">
        <v>7106</v>
      </c>
      <c r="AP313" s="2" t="s">
        <v>3696</v>
      </c>
      <c r="AQ313" s="2" t="s">
        <v>7107</v>
      </c>
      <c r="AR313" s="16" t="s">
        <v>7108</v>
      </c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</row>
    <row r="314" spans="3:58" ht="17.25" customHeight="1">
      <c r="C314" s="1">
        <v>44010</v>
      </c>
      <c r="E314" s="2" t="s">
        <v>6529</v>
      </c>
      <c r="F314" s="15"/>
      <c r="G314" s="2" t="s">
        <v>6706</v>
      </c>
      <c r="H314" s="2" t="s">
        <v>6705</v>
      </c>
      <c r="I314" s="2"/>
      <c r="J314" s="2">
        <v>1</v>
      </c>
      <c r="K314" s="2"/>
      <c r="L314" s="3">
        <v>31.5</v>
      </c>
      <c r="M314" s="3">
        <v>3.15</v>
      </c>
      <c r="N314" s="3">
        <v>1.77</v>
      </c>
      <c r="O314" s="3">
        <v>1.89</v>
      </c>
      <c r="P314" s="3">
        <f>1.89-1.89</f>
        <v>0</v>
      </c>
      <c r="Q314" s="6">
        <f t="shared" ref="Q314" si="680">+L314-M314-N314+P314</f>
        <v>26.580000000000002</v>
      </c>
      <c r="R314" s="3"/>
      <c r="S314" s="3">
        <v>17.72</v>
      </c>
      <c r="T314" s="3">
        <v>1.06</v>
      </c>
      <c r="U314" s="3"/>
      <c r="V314" s="3"/>
      <c r="W314" s="3"/>
      <c r="X314" s="2">
        <f t="shared" ref="X314" si="681">+S314+T314++U314+V314-W314</f>
        <v>18.779999999999998</v>
      </c>
      <c r="Y314" s="6">
        <f t="shared" ref="Y314" si="682">+Q314-X314</f>
        <v>7.8000000000000043</v>
      </c>
      <c r="Z314" s="2"/>
      <c r="AA314" s="2"/>
      <c r="AB314" s="2"/>
      <c r="AC314" s="3"/>
      <c r="AD314" s="2"/>
      <c r="AE314" s="2"/>
      <c r="AF314" s="2"/>
      <c r="AG314" s="2"/>
      <c r="AH314" s="2" t="s">
        <v>6704</v>
      </c>
      <c r="AI314" s="2" t="s">
        <v>6703</v>
      </c>
      <c r="AJ314" s="2"/>
      <c r="AK314" s="2"/>
      <c r="AL314" s="2" t="s">
        <v>7607</v>
      </c>
      <c r="AM314" s="16" t="s">
        <v>7665</v>
      </c>
      <c r="AN314" s="2"/>
      <c r="AO314" s="2" t="s">
        <v>6834</v>
      </c>
      <c r="AP314" s="2" t="s">
        <v>3685</v>
      </c>
      <c r="AQ314" s="2" t="s">
        <v>6717</v>
      </c>
      <c r="AR314" s="16" t="s">
        <v>6835</v>
      </c>
      <c r="AS314" s="16" t="s">
        <v>6873</v>
      </c>
      <c r="AT314" s="2"/>
      <c r="AU314" s="2" t="s">
        <v>7486</v>
      </c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</row>
    <row r="315" spans="3:58" ht="17.25" customHeight="1">
      <c r="C315" s="1">
        <v>44010</v>
      </c>
      <c r="E315" s="2" t="s">
        <v>6529</v>
      </c>
      <c r="F315" s="15"/>
      <c r="G315" s="2" t="s">
        <v>6700</v>
      </c>
      <c r="H315" s="2" t="s">
        <v>7608</v>
      </c>
      <c r="I315" s="2"/>
      <c r="J315" s="2">
        <v>1</v>
      </c>
      <c r="K315" s="2"/>
      <c r="L315" s="3">
        <v>31.5</v>
      </c>
      <c r="M315" s="3">
        <v>3.15</v>
      </c>
      <c r="N315" s="3">
        <v>1.69</v>
      </c>
      <c r="O315" s="3"/>
      <c r="P315" s="3">
        <v>0</v>
      </c>
      <c r="Q315" s="6">
        <f t="shared" ref="Q315" si="683">+L315-M315-N315+P315</f>
        <v>26.66</v>
      </c>
      <c r="R315" s="3"/>
      <c r="S315" s="3">
        <v>17.72</v>
      </c>
      <c r="T315" s="3">
        <v>2.04</v>
      </c>
      <c r="U315" s="3"/>
      <c r="V315" s="3"/>
      <c r="W315" s="3"/>
      <c r="X315" s="2">
        <f t="shared" ref="X315" si="684">+S315+T315++U315+V315-W315</f>
        <v>19.759999999999998</v>
      </c>
      <c r="Y315" s="6">
        <f t="shared" ref="Y315" si="685">+Q315-X315</f>
        <v>6.9000000000000021</v>
      </c>
      <c r="Z315" s="6">
        <f>SUM(Y310:Y315)</f>
        <v>43.19</v>
      </c>
      <c r="AA315" s="2"/>
      <c r="AB315" s="2"/>
      <c r="AC315" s="3"/>
      <c r="AD315" s="2"/>
      <c r="AE315" s="2"/>
      <c r="AF315" s="2"/>
      <c r="AG315" s="2"/>
      <c r="AH315" s="2" t="s">
        <v>6702</v>
      </c>
      <c r="AI315" s="2" t="s">
        <v>6701</v>
      </c>
      <c r="AJ315" s="2"/>
      <c r="AK315" s="2"/>
      <c r="AL315" s="2" t="s">
        <v>7607</v>
      </c>
      <c r="AM315" s="2" t="s">
        <v>7606</v>
      </c>
      <c r="AN315" s="2"/>
      <c r="AO315" s="10" t="s">
        <v>6720</v>
      </c>
      <c r="AP315" s="2" t="s">
        <v>3685</v>
      </c>
      <c r="AQ315" s="2" t="s">
        <v>6717</v>
      </c>
      <c r="AR315" s="16" t="s">
        <v>6721</v>
      </c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</row>
    <row r="316" spans="3:58" ht="17.25" customHeight="1">
      <c r="C316" s="1">
        <v>44009</v>
      </c>
      <c r="E316" s="2" t="s">
        <v>6263</v>
      </c>
      <c r="F316" s="15"/>
      <c r="G316" s="15" t="s">
        <v>6686</v>
      </c>
      <c r="H316" s="2" t="s">
        <v>6685</v>
      </c>
      <c r="I316" s="2"/>
      <c r="J316" s="2">
        <v>1</v>
      </c>
      <c r="K316" s="2"/>
      <c r="L316" s="3">
        <v>28.95</v>
      </c>
      <c r="M316" s="3">
        <v>2.89</v>
      </c>
      <c r="N316" s="3">
        <v>1.65</v>
      </c>
      <c r="O316" s="3">
        <v>1.84</v>
      </c>
      <c r="P316" s="3">
        <f>1.84-1.84</f>
        <v>0</v>
      </c>
      <c r="Q316" s="6">
        <f t="shared" ref="Q316" si="686">+L316-M316-N316+P316</f>
        <v>24.41</v>
      </c>
      <c r="R316" s="3"/>
      <c r="S316" s="3">
        <v>15.21</v>
      </c>
      <c r="T316" s="3">
        <v>1.52</v>
      </c>
      <c r="U316" s="3"/>
      <c r="V316" s="3"/>
      <c r="W316" s="3"/>
      <c r="X316" s="2">
        <f t="shared" ref="X316" si="687">+S316+T316++U316+V316-W316</f>
        <v>16.73</v>
      </c>
      <c r="Y316" s="6">
        <f t="shared" ref="Y316" si="688">+Q316-X316</f>
        <v>7.68</v>
      </c>
      <c r="Z316" s="2"/>
      <c r="AA316" s="2"/>
      <c r="AB316" s="2"/>
      <c r="AC316" s="3"/>
      <c r="AD316" s="2"/>
      <c r="AE316" s="2"/>
      <c r="AF316" s="2"/>
      <c r="AG316" s="2"/>
      <c r="AH316" s="2" t="s">
        <v>6688</v>
      </c>
      <c r="AI316" s="2" t="s">
        <v>6687</v>
      </c>
      <c r="AJ316" s="2"/>
      <c r="AK316" s="2"/>
      <c r="AL316" s="2" t="s">
        <v>6728</v>
      </c>
      <c r="AM316" s="16" t="s">
        <v>7226</v>
      </c>
      <c r="AN316" s="2"/>
      <c r="AO316" s="16" t="s">
        <v>7187</v>
      </c>
      <c r="AP316" s="2" t="s">
        <v>7189</v>
      </c>
      <c r="AQ316" s="2" t="s">
        <v>7193</v>
      </c>
      <c r="AR316" s="16" t="s">
        <v>7188</v>
      </c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</row>
    <row r="317" spans="3:58" ht="17.25" customHeight="1">
      <c r="C317" s="1">
        <v>44009</v>
      </c>
      <c r="E317" s="2" t="s">
        <v>772</v>
      </c>
      <c r="F317" s="15"/>
      <c r="G317" s="2" t="s">
        <v>6682</v>
      </c>
      <c r="H317" s="2" t="s">
        <v>6800</v>
      </c>
      <c r="I317" s="2"/>
      <c r="J317" s="2">
        <v>1</v>
      </c>
      <c r="K317" s="2"/>
      <c r="L317" s="3">
        <v>0</v>
      </c>
      <c r="M317" s="3">
        <v>0</v>
      </c>
      <c r="N317" s="3">
        <v>0</v>
      </c>
      <c r="O317" s="3"/>
      <c r="P317" s="3">
        <f>2.16-2.16</f>
        <v>0</v>
      </c>
      <c r="Q317" s="6">
        <f t="shared" ref="Q317:Q318" si="689">+L317-M317-N317+P317</f>
        <v>0</v>
      </c>
      <c r="R317" s="3"/>
      <c r="S317" s="3">
        <v>0</v>
      </c>
      <c r="T317" s="3">
        <v>0</v>
      </c>
      <c r="U317" s="3"/>
      <c r="V317" s="3"/>
      <c r="W317" s="3"/>
      <c r="X317" s="2">
        <f t="shared" ref="X317" si="690">+S317+T317++U317+V317-W317</f>
        <v>0</v>
      </c>
      <c r="Y317" s="6">
        <f t="shared" ref="Y317" si="691">+Q317-X317</f>
        <v>0</v>
      </c>
      <c r="Z317" s="2"/>
      <c r="AA317" s="2"/>
      <c r="AB317" s="2"/>
      <c r="AC317" s="3"/>
      <c r="AD317" s="2"/>
      <c r="AE317" s="2"/>
      <c r="AF317" s="2"/>
      <c r="AG317" s="2"/>
      <c r="AH317" s="2" t="s">
        <v>6684</v>
      </c>
      <c r="AI317" s="2" t="s">
        <v>6683</v>
      </c>
      <c r="AJ317" s="2"/>
      <c r="AK317" s="2"/>
      <c r="AL317" s="2"/>
      <c r="AM317" s="2"/>
      <c r="AN317" s="2"/>
      <c r="AO317" s="5" t="s">
        <v>6799</v>
      </c>
      <c r="AP317" s="2" t="s">
        <v>6600</v>
      </c>
      <c r="AQ317" s="2"/>
      <c r="AR317" s="2"/>
      <c r="AS317" s="2"/>
      <c r="AT317" s="2"/>
      <c r="AU317" s="2" t="s">
        <v>6869</v>
      </c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</row>
    <row r="318" spans="3:58" ht="17.25" customHeight="1">
      <c r="C318" s="1">
        <v>44009</v>
      </c>
      <c r="E318" s="2" t="s">
        <v>6664</v>
      </c>
      <c r="F318" s="15"/>
      <c r="G318" s="2" t="s">
        <v>6690</v>
      </c>
      <c r="H318" s="2" t="s">
        <v>6689</v>
      </c>
      <c r="I318" s="2"/>
      <c r="J318" s="2">
        <v>1</v>
      </c>
      <c r="K318" s="2"/>
      <c r="L318" s="3">
        <v>72.5</v>
      </c>
      <c r="M318" s="3">
        <v>7.25</v>
      </c>
      <c r="N318" s="3">
        <v>3.72</v>
      </c>
      <c r="O318" s="3">
        <v>5.18</v>
      </c>
      <c r="P318" s="3">
        <f>5.18-5.18</f>
        <v>0</v>
      </c>
      <c r="Q318" s="6">
        <f t="shared" si="689"/>
        <v>61.53</v>
      </c>
      <c r="R318" s="3"/>
      <c r="S318" s="3">
        <v>45.99</v>
      </c>
      <c r="T318" s="3"/>
      <c r="U318" s="3">
        <v>4.99</v>
      </c>
      <c r="V318" s="3"/>
      <c r="W318" s="3">
        <v>4.59</v>
      </c>
      <c r="X318" s="2">
        <f t="shared" ref="X318" si="692">+S318+T318++U318+V318-W318</f>
        <v>46.39</v>
      </c>
      <c r="Y318" s="6">
        <f t="shared" ref="Y318" si="693">+Q318-X318</f>
        <v>15.14</v>
      </c>
      <c r="Z318" s="2"/>
      <c r="AA318" s="2"/>
      <c r="AB318" s="2"/>
      <c r="AC318" s="3"/>
      <c r="AD318" s="2"/>
      <c r="AE318" s="2"/>
      <c r="AF318" s="2"/>
      <c r="AG318" s="2"/>
      <c r="AH318" s="2" t="s">
        <v>6692</v>
      </c>
      <c r="AI318" s="2" t="s">
        <v>6691</v>
      </c>
      <c r="AJ318" s="2"/>
      <c r="AK318" s="2"/>
      <c r="AL318" s="2" t="s">
        <v>6728</v>
      </c>
      <c r="AM318" s="16" t="s">
        <v>6976</v>
      </c>
      <c r="AN318" s="2"/>
      <c r="AO318" s="2" t="s">
        <v>6886</v>
      </c>
      <c r="AP318" s="2" t="s">
        <v>6663</v>
      </c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</row>
    <row r="319" spans="3:58" ht="17.25" customHeight="1">
      <c r="C319" s="1">
        <v>44009</v>
      </c>
      <c r="E319" s="2" t="s">
        <v>1597</v>
      </c>
      <c r="F319" s="15"/>
      <c r="G319" s="2" t="s">
        <v>6679</v>
      </c>
      <c r="H319" s="2" t="s">
        <v>6678</v>
      </c>
      <c r="I319" s="2"/>
      <c r="J319" s="2">
        <v>1</v>
      </c>
      <c r="K319" s="2"/>
      <c r="L319" s="3">
        <v>84.5</v>
      </c>
      <c r="M319" s="3">
        <v>8.4499999999999993</v>
      </c>
      <c r="N319" s="3">
        <v>3.87</v>
      </c>
      <c r="O319" s="3">
        <v>0</v>
      </c>
      <c r="P319" s="3">
        <v>0</v>
      </c>
      <c r="Q319" s="6">
        <f t="shared" ref="Q319" si="694">+L319-M319-N319+P319</f>
        <v>72.179999999999993</v>
      </c>
      <c r="R319" s="3"/>
      <c r="S319" s="3">
        <v>65.19</v>
      </c>
      <c r="T319" s="3">
        <v>0</v>
      </c>
      <c r="U319" s="3"/>
      <c r="V319" s="3"/>
      <c r="W319" s="33">
        <f>6.51</f>
        <v>6.51</v>
      </c>
      <c r="X319" s="2">
        <f t="shared" ref="X319" si="695">+S319+T319++U319+V319-W319</f>
        <v>58.68</v>
      </c>
      <c r="Y319" s="6">
        <f t="shared" ref="Y319" si="696">+Q319-X319</f>
        <v>13.499999999999993</v>
      </c>
      <c r="Z319" s="2"/>
      <c r="AA319" s="2"/>
      <c r="AB319" s="2"/>
      <c r="AC319" s="3"/>
      <c r="AD319" s="2"/>
      <c r="AE319" s="2"/>
      <c r="AF319" s="2"/>
      <c r="AG319" s="2"/>
      <c r="AH319" s="2" t="s">
        <v>6681</v>
      </c>
      <c r="AI319" s="2" t="s">
        <v>6680</v>
      </c>
      <c r="AJ319" s="2"/>
      <c r="AK319" s="2"/>
      <c r="AL319" s="2" t="s">
        <v>6872</v>
      </c>
      <c r="AM319" s="16" t="s">
        <v>7060</v>
      </c>
      <c r="AN319" s="2"/>
      <c r="AO319" s="10" t="s">
        <v>7055</v>
      </c>
      <c r="AP319" s="2" t="s">
        <v>6893</v>
      </c>
      <c r="AQ319" s="2" t="s">
        <v>6895</v>
      </c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</row>
    <row r="320" spans="3:58" ht="17.25" customHeight="1">
      <c r="C320" s="1">
        <v>44009</v>
      </c>
      <c r="E320" s="2" t="s">
        <v>3170</v>
      </c>
      <c r="F320" s="15"/>
      <c r="G320" s="2" t="s">
        <v>6679</v>
      </c>
      <c r="H320" s="2" t="s">
        <v>6678</v>
      </c>
      <c r="I320" s="2"/>
      <c r="J320" s="2">
        <v>1</v>
      </c>
      <c r="K320" s="2"/>
      <c r="L320" s="3">
        <v>84.5</v>
      </c>
      <c r="M320" s="3">
        <v>8.4499999999999993</v>
      </c>
      <c r="N320" s="3">
        <v>3.87</v>
      </c>
      <c r="O320" s="3">
        <v>0</v>
      </c>
      <c r="P320" s="3">
        <v>0</v>
      </c>
      <c r="Q320" s="6">
        <f t="shared" ref="Q320" si="697">+L320-M320-N320+P320</f>
        <v>72.179999999999993</v>
      </c>
      <c r="R320" s="3"/>
      <c r="S320" s="3">
        <v>65.19</v>
      </c>
      <c r="T320" s="3">
        <v>0</v>
      </c>
      <c r="U320" s="3"/>
      <c r="V320" s="3"/>
      <c r="W320" s="33">
        <f>6.51</f>
        <v>6.51</v>
      </c>
      <c r="X320" s="2">
        <f t="shared" ref="X320" si="698">+S320+T320++U320+V320-W320</f>
        <v>58.68</v>
      </c>
      <c r="Y320" s="6">
        <f t="shared" ref="Y320" si="699">+Q320-X320</f>
        <v>13.499999999999993</v>
      </c>
      <c r="Z320" s="2"/>
      <c r="AA320" s="2"/>
      <c r="AB320" s="2"/>
      <c r="AC320" s="3"/>
      <c r="AD320" s="2"/>
      <c r="AE320" s="2"/>
      <c r="AF320" s="2"/>
      <c r="AG320" s="2"/>
      <c r="AH320" s="2" t="s">
        <v>6681</v>
      </c>
      <c r="AI320" s="2" t="s">
        <v>6680</v>
      </c>
      <c r="AJ320" s="2"/>
      <c r="AK320" s="2"/>
      <c r="AL320" s="2" t="s">
        <v>6872</v>
      </c>
      <c r="AM320" s="16" t="s">
        <v>7060</v>
      </c>
      <c r="AN320" s="2"/>
      <c r="AO320" s="10" t="s">
        <v>7055</v>
      </c>
      <c r="AP320" s="2" t="s">
        <v>6893</v>
      </c>
      <c r="AQ320" s="2" t="s">
        <v>6894</v>
      </c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</row>
    <row r="321" spans="3:58" ht="17.25" customHeight="1">
      <c r="C321" s="1">
        <v>44009</v>
      </c>
      <c r="E321" s="2" t="s">
        <v>6384</v>
      </c>
      <c r="F321" s="15"/>
      <c r="G321" s="2" t="s">
        <v>6674</v>
      </c>
      <c r="H321" s="2" t="s">
        <v>6884</v>
      </c>
      <c r="I321" s="2"/>
      <c r="J321" s="2">
        <v>1</v>
      </c>
      <c r="K321" s="2"/>
      <c r="L321" s="3">
        <v>0</v>
      </c>
      <c r="M321" s="3">
        <v>0</v>
      </c>
      <c r="N321" s="3">
        <v>0</v>
      </c>
      <c r="O321" s="3"/>
      <c r="P321" s="3">
        <f>1.67-1.67</f>
        <v>0</v>
      </c>
      <c r="Q321" s="6">
        <f t="shared" ref="Q321" si="700">+L321-M321-N321+P321</f>
        <v>0</v>
      </c>
      <c r="R321" s="3"/>
      <c r="S321" s="3">
        <v>0</v>
      </c>
      <c r="T321" s="3">
        <v>0</v>
      </c>
      <c r="U321" s="3"/>
      <c r="V321" s="3"/>
      <c r="W321" s="3">
        <v>0</v>
      </c>
      <c r="X321" s="2">
        <f t="shared" ref="X321" si="701">+S321+T321++U321+V321-W321</f>
        <v>0</v>
      </c>
      <c r="Y321" s="6">
        <f t="shared" ref="Y321" si="702">+Q321-X321</f>
        <v>0</v>
      </c>
      <c r="Z321" s="2"/>
      <c r="AA321" s="2"/>
      <c r="AB321" s="2"/>
      <c r="AC321" s="3"/>
      <c r="AD321" s="2"/>
      <c r="AE321" s="2"/>
      <c r="AF321" s="2"/>
      <c r="AG321" s="2"/>
      <c r="AH321" s="2" t="s">
        <v>6676</v>
      </c>
      <c r="AI321" s="2" t="s">
        <v>6675</v>
      </c>
      <c r="AJ321" s="2"/>
      <c r="AK321" s="2"/>
      <c r="AL321" s="2"/>
      <c r="AM321" s="2"/>
      <c r="AN321" s="2"/>
      <c r="AO321" s="5" t="s">
        <v>6799</v>
      </c>
      <c r="AP321" s="2" t="s">
        <v>6403</v>
      </c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</row>
    <row r="322" spans="3:58" ht="17.25" customHeight="1">
      <c r="C322" s="1">
        <v>44009</v>
      </c>
      <c r="E322" s="2" t="s">
        <v>1922</v>
      </c>
      <c r="F322" s="15"/>
      <c r="G322" s="2" t="s">
        <v>6670</v>
      </c>
      <c r="H322" s="2" t="s">
        <v>6669</v>
      </c>
      <c r="I322" s="2"/>
      <c r="J322" s="2">
        <v>1</v>
      </c>
      <c r="K322" s="2"/>
      <c r="L322" s="3">
        <v>25.5</v>
      </c>
      <c r="M322" s="3">
        <v>2.5499999999999998</v>
      </c>
      <c r="N322" s="3">
        <v>1.5</v>
      </c>
      <c r="O322" s="3">
        <v>1.53</v>
      </c>
      <c r="P322" s="3">
        <f>1.53-1.53</f>
        <v>0</v>
      </c>
      <c r="Q322" s="6">
        <f t="shared" ref="Q322" si="703">+L322-M322-N322+P322</f>
        <v>21.45</v>
      </c>
      <c r="R322" s="3"/>
      <c r="S322" s="3">
        <v>12.99</v>
      </c>
      <c r="T322" s="3">
        <v>0.91</v>
      </c>
      <c r="U322" s="3"/>
      <c r="V322" s="3"/>
      <c r="W322" s="3"/>
      <c r="X322" s="3">
        <f t="shared" ref="X322" si="704">+S322+T322++U322+V322-W322</f>
        <v>13.9</v>
      </c>
      <c r="Y322" s="6">
        <f t="shared" ref="Y322" si="705">+Q322-X322</f>
        <v>7.5499999999999989</v>
      </c>
      <c r="Z322" s="6">
        <f>SUM(Y316:Y322)</f>
        <v>57.369999999999983</v>
      </c>
      <c r="AA322" s="2"/>
      <c r="AB322" s="2"/>
      <c r="AC322" s="3"/>
      <c r="AD322" s="2"/>
      <c r="AE322" s="2"/>
      <c r="AF322" s="2"/>
      <c r="AG322" s="2"/>
      <c r="AH322" s="2" t="s">
        <v>6672</v>
      </c>
      <c r="AI322" s="2" t="s">
        <v>6671</v>
      </c>
      <c r="AJ322" s="2"/>
      <c r="AK322" s="2"/>
      <c r="AL322" s="2" t="s">
        <v>6972</v>
      </c>
      <c r="AM322" s="2" t="s">
        <v>6973</v>
      </c>
      <c r="AN322" s="2"/>
      <c r="AO322" s="2" t="s">
        <v>6885</v>
      </c>
      <c r="AP322" s="2" t="s">
        <v>591</v>
      </c>
      <c r="AQ322" s="2" t="s">
        <v>6673</v>
      </c>
      <c r="AR322" s="16" t="s">
        <v>7029</v>
      </c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</row>
    <row r="323" spans="3:58" ht="17.25" customHeight="1">
      <c r="C323" s="1">
        <v>44008</v>
      </c>
      <c r="E323" s="2" t="s">
        <v>3170</v>
      </c>
      <c r="F323" s="15"/>
      <c r="G323" s="2" t="s">
        <v>8367</v>
      </c>
      <c r="H323" s="2" t="s">
        <v>6677</v>
      </c>
      <c r="I323" s="2"/>
      <c r="J323" s="2">
        <v>1</v>
      </c>
      <c r="K323" s="2"/>
      <c r="L323" s="3">
        <v>84.5</v>
      </c>
      <c r="M323" s="3">
        <v>8.4499999999999993</v>
      </c>
      <c r="N323" s="3">
        <v>4.28</v>
      </c>
      <c r="O323" s="3">
        <v>0</v>
      </c>
      <c r="P323" s="3">
        <v>5.92</v>
      </c>
      <c r="Q323" s="6">
        <f t="shared" ref="Q323" si="706">+L323-M323-N323+P323</f>
        <v>77.69</v>
      </c>
      <c r="R323" s="3"/>
      <c r="S323" s="3">
        <v>65.19</v>
      </c>
      <c r="T323" s="3">
        <v>4.57</v>
      </c>
      <c r="U323" s="3"/>
      <c r="V323" s="3"/>
      <c r="W323" s="3">
        <f>6.51</f>
        <v>6.51</v>
      </c>
      <c r="X323" s="2">
        <f t="shared" ref="X323" si="707">+S323+T323++U323+V323-W323</f>
        <v>63.249999999999993</v>
      </c>
      <c r="Y323" s="6">
        <f t="shared" ref="Y323" si="708">+Q323-X323</f>
        <v>14.440000000000005</v>
      </c>
      <c r="Z323" s="6" t="s">
        <v>6441</v>
      </c>
      <c r="AA323" s="2"/>
      <c r="AB323" s="2"/>
      <c r="AC323" s="3"/>
      <c r="AD323" s="2"/>
      <c r="AE323" s="2"/>
      <c r="AF323" s="2"/>
      <c r="AG323" s="2"/>
      <c r="AH323" s="2" t="s">
        <v>6354</v>
      </c>
      <c r="AI323" s="2" t="s">
        <v>6353</v>
      </c>
      <c r="AJ323" s="2"/>
      <c r="AK323" s="2"/>
      <c r="AL323" s="2" t="s">
        <v>6872</v>
      </c>
      <c r="AM323" s="16" t="s">
        <v>6974</v>
      </c>
      <c r="AN323" s="2"/>
      <c r="AO323" s="2" t="s">
        <v>6896</v>
      </c>
      <c r="AP323" s="2" t="s">
        <v>6893</v>
      </c>
      <c r="AQ323" s="2" t="s">
        <v>6894</v>
      </c>
      <c r="AR323" s="2"/>
      <c r="AS323" s="2" t="s">
        <v>6764</v>
      </c>
      <c r="AT323" s="2"/>
      <c r="AU323" s="2" t="s">
        <v>8601</v>
      </c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</row>
    <row r="324" spans="3:58" ht="17.25" customHeight="1">
      <c r="C324" s="1">
        <v>44008</v>
      </c>
      <c r="E324" s="2" t="s">
        <v>772</v>
      </c>
      <c r="F324" s="15"/>
      <c r="G324" s="2" t="s">
        <v>6666</v>
      </c>
      <c r="H324" s="2" t="s">
        <v>6665</v>
      </c>
      <c r="I324" s="2"/>
      <c r="J324" s="2">
        <v>1</v>
      </c>
      <c r="K324" s="2"/>
      <c r="L324" s="3">
        <v>35.85</v>
      </c>
      <c r="M324" s="3">
        <v>3.58</v>
      </c>
      <c r="N324" s="3">
        <v>1.97</v>
      </c>
      <c r="O324" s="3">
        <v>2.16</v>
      </c>
      <c r="P324" s="3">
        <f>2.16-2.16</f>
        <v>0</v>
      </c>
      <c r="Q324" s="6">
        <f t="shared" ref="Q324" si="709">+L324-M324-N324+P324</f>
        <v>30.300000000000004</v>
      </c>
      <c r="R324" s="3"/>
      <c r="S324" s="3">
        <v>18.989999999999998</v>
      </c>
      <c r="T324" s="3">
        <v>1.59</v>
      </c>
      <c r="U324" s="3"/>
      <c r="V324" s="3"/>
      <c r="W324" s="3"/>
      <c r="X324" s="2">
        <f t="shared" ref="X324" si="710">+S324+T324++U324+V324-W324</f>
        <v>20.58</v>
      </c>
      <c r="Y324" s="6">
        <f t="shared" ref="Y324" si="711">+Q324-X324</f>
        <v>9.720000000000006</v>
      </c>
      <c r="Z324" s="2"/>
      <c r="AA324" s="2"/>
      <c r="AB324" s="2"/>
      <c r="AC324" s="3"/>
      <c r="AD324" s="2"/>
      <c r="AE324" s="2"/>
      <c r="AF324" s="2"/>
      <c r="AG324" s="2"/>
      <c r="AH324" s="2" t="s">
        <v>6668</v>
      </c>
      <c r="AI324" s="2" t="s">
        <v>6667</v>
      </c>
      <c r="AJ324" s="2"/>
      <c r="AK324" s="2"/>
      <c r="AL324" s="2" t="s">
        <v>6728</v>
      </c>
      <c r="AM324" s="16" t="s">
        <v>6848</v>
      </c>
      <c r="AN324" s="2"/>
      <c r="AO324" s="2" t="s">
        <v>6828</v>
      </c>
      <c r="AP324" s="2" t="s">
        <v>591</v>
      </c>
      <c r="AQ324" s="2" t="s">
        <v>6600</v>
      </c>
      <c r="AR324" s="16" t="s">
        <v>6829</v>
      </c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</row>
    <row r="325" spans="3:58" ht="17.25" customHeight="1">
      <c r="C325" s="1">
        <v>44008</v>
      </c>
      <c r="E325" s="2" t="s">
        <v>6644</v>
      </c>
      <c r="F325" s="15"/>
      <c r="G325" s="2" t="s">
        <v>6648</v>
      </c>
      <c r="H325" s="2" t="s">
        <v>6647</v>
      </c>
      <c r="I325" s="2"/>
      <c r="J325" s="2">
        <v>1</v>
      </c>
      <c r="K325" s="2"/>
      <c r="L325" s="3">
        <v>33.799999999999997</v>
      </c>
      <c r="M325" s="3">
        <v>3.38</v>
      </c>
      <c r="N325" s="3">
        <v>1.88</v>
      </c>
      <c r="O325" s="3">
        <v>2.0299999999999998</v>
      </c>
      <c r="P325" s="3">
        <f>2.03-2.03</f>
        <v>0</v>
      </c>
      <c r="Q325" s="6">
        <f t="shared" ref="Q325:Q327" si="712">+L325-M325-N325+P325</f>
        <v>28.54</v>
      </c>
      <c r="R325" s="3"/>
      <c r="S325" s="3">
        <v>23.4</v>
      </c>
      <c r="T325" s="3">
        <v>1.1000000000000001</v>
      </c>
      <c r="U325" s="3"/>
      <c r="V325" s="3"/>
      <c r="W325" s="3"/>
      <c r="X325" s="2">
        <f t="shared" ref="X325:X326" si="713">+S325+T325++U325+V325-W325</f>
        <v>24.5</v>
      </c>
      <c r="Y325" s="6">
        <f t="shared" ref="Y325:Y326" si="714">+Q325-X325</f>
        <v>4.0399999999999991</v>
      </c>
      <c r="Z325" s="2"/>
      <c r="AA325" s="2"/>
      <c r="AB325" s="2"/>
      <c r="AC325" s="3"/>
      <c r="AD325" s="2"/>
      <c r="AE325" s="2"/>
      <c r="AF325" s="2"/>
      <c r="AG325" s="2"/>
      <c r="AH325" s="2" t="s">
        <v>6646</v>
      </c>
      <c r="AI325" s="2" t="s">
        <v>6645</v>
      </c>
      <c r="AJ325" s="2"/>
      <c r="AK325" s="2"/>
      <c r="AL325" s="2" t="s">
        <v>6728</v>
      </c>
      <c r="AM325" s="16" t="s">
        <v>6897</v>
      </c>
      <c r="AN325" s="2"/>
      <c r="AO325" s="2" t="s">
        <v>6881</v>
      </c>
      <c r="AP325" s="2" t="s">
        <v>6882</v>
      </c>
      <c r="AQ325" s="2"/>
      <c r="AR325" s="16" t="s">
        <v>6877</v>
      </c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</row>
    <row r="326" spans="3:58" ht="17.25" customHeight="1">
      <c r="C326" s="1">
        <v>44008</v>
      </c>
      <c r="E326" s="2" t="s">
        <v>6529</v>
      </c>
      <c r="F326" s="15"/>
      <c r="G326" s="2" t="s">
        <v>6649</v>
      </c>
      <c r="H326" s="2" t="s">
        <v>6652</v>
      </c>
      <c r="I326" s="2"/>
      <c r="J326" s="2">
        <v>1</v>
      </c>
      <c r="K326" s="2"/>
      <c r="L326" s="3">
        <v>31.5</v>
      </c>
      <c r="M326" s="3">
        <v>3.15</v>
      </c>
      <c r="N326" s="3">
        <v>1.69</v>
      </c>
      <c r="O326" s="3"/>
      <c r="P326" s="3">
        <v>0</v>
      </c>
      <c r="Q326" s="6">
        <f t="shared" ref="Q326" si="715">+L326-M326-N326+P326</f>
        <v>26.66</v>
      </c>
      <c r="R326" s="3"/>
      <c r="S326" s="3">
        <v>18.690000000000001</v>
      </c>
      <c r="T326" s="3">
        <v>1.1499999999999999</v>
      </c>
      <c r="U326" s="3"/>
      <c r="V326" s="3"/>
      <c r="W326" s="3"/>
      <c r="X326" s="2">
        <f t="shared" si="713"/>
        <v>19.84</v>
      </c>
      <c r="Y326" s="6">
        <f t="shared" si="714"/>
        <v>6.82</v>
      </c>
      <c r="Z326" s="6">
        <f>SUM(Y323:Y326)</f>
        <v>35.02000000000001</v>
      </c>
      <c r="AA326" s="2"/>
      <c r="AB326" s="2"/>
      <c r="AC326" s="3"/>
      <c r="AD326" s="2"/>
      <c r="AE326" s="2"/>
      <c r="AF326" s="2"/>
      <c r="AG326" s="2"/>
      <c r="AH326" s="2" t="s">
        <v>6651</v>
      </c>
      <c r="AI326" s="2" t="s">
        <v>6650</v>
      </c>
      <c r="AJ326" s="2"/>
      <c r="AK326" s="2"/>
      <c r="AL326" s="2" t="s">
        <v>7607</v>
      </c>
      <c r="AM326" s="2" t="s">
        <v>7609</v>
      </c>
      <c r="AN326" s="2"/>
      <c r="AO326" s="2" t="s">
        <v>6718</v>
      </c>
      <c r="AP326" s="2" t="s">
        <v>6717</v>
      </c>
      <c r="AQ326" s="2"/>
      <c r="AR326" s="16" t="s">
        <v>6719</v>
      </c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</row>
    <row r="327" spans="3:58" ht="17.25" customHeight="1">
      <c r="C327" s="1">
        <v>44007</v>
      </c>
      <c r="E327" s="2" t="s">
        <v>6529</v>
      </c>
      <c r="F327" s="15"/>
      <c r="G327" s="2" t="s">
        <v>6621</v>
      </c>
      <c r="H327" s="2" t="s">
        <v>6620</v>
      </c>
      <c r="I327" s="2"/>
      <c r="J327" s="2">
        <v>1</v>
      </c>
      <c r="K327" s="2"/>
      <c r="L327" s="3">
        <v>31.5</v>
      </c>
      <c r="M327" s="3">
        <v>3.15</v>
      </c>
      <c r="N327" s="3">
        <v>1.77</v>
      </c>
      <c r="O327" s="3">
        <v>1.89</v>
      </c>
      <c r="P327" s="3">
        <f>1.89-1.89</f>
        <v>0</v>
      </c>
      <c r="Q327" s="6">
        <f t="shared" si="712"/>
        <v>26.580000000000002</v>
      </c>
      <c r="R327" s="3"/>
      <c r="S327" s="3">
        <v>17.72</v>
      </c>
      <c r="T327" s="3">
        <v>1.06</v>
      </c>
      <c r="U327" s="3"/>
      <c r="V327" s="3"/>
      <c r="W327" s="3"/>
      <c r="X327" s="2">
        <f t="shared" ref="X327" si="716">+S327+T327++U327+V327-W327</f>
        <v>18.779999999999998</v>
      </c>
      <c r="Y327" s="6">
        <f t="shared" ref="Y327" si="717">+Q327-X327</f>
        <v>7.8000000000000043</v>
      </c>
      <c r="Z327" s="2"/>
      <c r="AA327" s="2"/>
      <c r="AB327" s="2"/>
      <c r="AC327" s="3"/>
      <c r="AD327" s="2"/>
      <c r="AE327" s="2"/>
      <c r="AF327" s="2"/>
      <c r="AG327" s="2"/>
      <c r="AH327" s="2" t="s">
        <v>6623</v>
      </c>
      <c r="AI327" s="2" t="s">
        <v>6622</v>
      </c>
      <c r="AJ327" s="2"/>
      <c r="AK327" s="2"/>
      <c r="AL327" s="2" t="s">
        <v>6972</v>
      </c>
      <c r="AM327" s="2" t="s">
        <v>7117</v>
      </c>
      <c r="AN327" s="2"/>
      <c r="AO327" s="2" t="s">
        <v>6715</v>
      </c>
      <c r="AP327" s="2" t="s">
        <v>6717</v>
      </c>
      <c r="AQ327" s="2"/>
      <c r="AR327" s="16" t="s">
        <v>7180</v>
      </c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</row>
    <row r="328" spans="3:58" ht="17.25" customHeight="1">
      <c r="C328" s="1">
        <v>44007</v>
      </c>
      <c r="E328" s="2" t="s">
        <v>6384</v>
      </c>
      <c r="F328" s="15"/>
      <c r="G328" s="2" t="s">
        <v>6629</v>
      </c>
      <c r="H328" s="2" t="s">
        <v>6628</v>
      </c>
      <c r="I328" s="2"/>
      <c r="J328" s="2">
        <v>1</v>
      </c>
      <c r="K328" s="2"/>
      <c r="L328" s="3">
        <v>22.99</v>
      </c>
      <c r="M328" s="3">
        <v>2.29</v>
      </c>
      <c r="N328" s="3">
        <v>1.4</v>
      </c>
      <c r="O328" s="3">
        <v>2.0099999999999998</v>
      </c>
      <c r="P328" s="3">
        <f>2.01-2.01</f>
        <v>0</v>
      </c>
      <c r="Q328" s="6">
        <f t="shared" ref="Q328" si="718">+L328-M328-N328+P328</f>
        <v>19.3</v>
      </c>
      <c r="R328" s="3"/>
      <c r="S328" s="3">
        <v>13.95</v>
      </c>
      <c r="T328" s="3">
        <v>1.22</v>
      </c>
      <c r="U328" s="3"/>
      <c r="V328" s="3"/>
      <c r="W328" s="3">
        <v>1.39</v>
      </c>
      <c r="X328" s="2">
        <f t="shared" ref="X328" si="719">+S328+T328++U328+V328-W328</f>
        <v>13.78</v>
      </c>
      <c r="Y328" s="6">
        <f t="shared" ref="Y328" si="720">+Q328-X328</f>
        <v>5.5200000000000014</v>
      </c>
      <c r="Z328" s="2"/>
      <c r="AA328" s="2"/>
      <c r="AB328" s="2"/>
      <c r="AC328" s="3"/>
      <c r="AD328" s="2"/>
      <c r="AE328" s="2"/>
      <c r="AF328" s="2"/>
      <c r="AG328" s="2"/>
      <c r="AH328" s="2" t="s">
        <v>6631</v>
      </c>
      <c r="AI328" s="2" t="s">
        <v>6630</v>
      </c>
      <c r="AJ328" s="2"/>
      <c r="AK328" s="2"/>
      <c r="AL328" s="2" t="s">
        <v>6382</v>
      </c>
      <c r="AM328" s="2" t="s">
        <v>6694</v>
      </c>
      <c r="AN328" s="2"/>
      <c r="AO328" s="2" t="s">
        <v>6632</v>
      </c>
      <c r="AP328" s="2" t="s">
        <v>3252</v>
      </c>
      <c r="AQ328" s="2"/>
      <c r="AR328" s="16" t="s">
        <v>6753</v>
      </c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</row>
    <row r="329" spans="3:58" ht="17.25" customHeight="1">
      <c r="C329" s="1">
        <v>44007</v>
      </c>
      <c r="E329" s="2" t="s">
        <v>6062</v>
      </c>
      <c r="F329" s="15"/>
      <c r="G329" s="2" t="s">
        <v>6625</v>
      </c>
      <c r="H329" s="2" t="s">
        <v>6624</v>
      </c>
      <c r="I329" s="2"/>
      <c r="J329" s="2">
        <v>1</v>
      </c>
      <c r="K329" s="2"/>
      <c r="L329" s="3">
        <v>33.5</v>
      </c>
      <c r="M329" s="3">
        <v>3.35</v>
      </c>
      <c r="N329" s="3">
        <v>1.86</v>
      </c>
      <c r="O329" s="3">
        <v>2.0099999999999998</v>
      </c>
      <c r="P329" s="3">
        <f>2.01-2.01</f>
        <v>0</v>
      </c>
      <c r="Q329" s="6">
        <f t="shared" ref="Q329" si="721">+L329-M329-N329+P329</f>
        <v>28.29</v>
      </c>
      <c r="R329" s="3"/>
      <c r="S329" s="3">
        <v>17.989999999999998</v>
      </c>
      <c r="T329" s="3">
        <v>1.08</v>
      </c>
      <c r="U329" s="3"/>
      <c r="V329" s="3"/>
      <c r="W329" s="3"/>
      <c r="X329" s="2">
        <f t="shared" ref="X329" si="722">+S329+T329++U329+V329-W329</f>
        <v>19.07</v>
      </c>
      <c r="Y329" s="6">
        <f t="shared" ref="Y329" si="723">+Q329-X329</f>
        <v>9.2199999999999989</v>
      </c>
      <c r="Z329" s="2"/>
      <c r="AA329" s="2"/>
      <c r="AB329" s="2"/>
      <c r="AC329" s="3"/>
      <c r="AD329" s="2"/>
      <c r="AE329" s="2"/>
      <c r="AF329" s="2"/>
      <c r="AG329" s="2"/>
      <c r="AH329" s="2" t="s">
        <v>6627</v>
      </c>
      <c r="AI329" s="2" t="s">
        <v>6626</v>
      </c>
      <c r="AJ329" s="2"/>
      <c r="AK329" s="2"/>
      <c r="AL329" s="2" t="s">
        <v>6728</v>
      </c>
      <c r="AM329" s="16" t="s">
        <v>6898</v>
      </c>
      <c r="AN329" s="2"/>
      <c r="AO329" s="2" t="s">
        <v>6878</v>
      </c>
      <c r="AP329" s="2" t="s">
        <v>591</v>
      </c>
      <c r="AQ329" s="2" t="s">
        <v>543</v>
      </c>
      <c r="AR329" s="16" t="s">
        <v>6877</v>
      </c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</row>
    <row r="330" spans="3:58" ht="17.25" customHeight="1">
      <c r="C330" s="1">
        <v>44007</v>
      </c>
      <c r="E330" s="2" t="s">
        <v>772</v>
      </c>
      <c r="F330" s="15"/>
      <c r="G330" s="2" t="s">
        <v>6617</v>
      </c>
      <c r="H330" s="2" t="s">
        <v>6616</v>
      </c>
      <c r="I330" s="2"/>
      <c r="J330" s="2">
        <v>1</v>
      </c>
      <c r="K330" s="2"/>
      <c r="L330" s="3">
        <v>35.85</v>
      </c>
      <c r="M330" s="3">
        <v>3.58</v>
      </c>
      <c r="N330" s="3">
        <v>2.0099999999999998</v>
      </c>
      <c r="O330" s="3">
        <v>2.96</v>
      </c>
      <c r="P330" s="3">
        <f>2.96-2.96</f>
        <v>0</v>
      </c>
      <c r="Q330" s="6">
        <f t="shared" ref="Q330" si="724">+L330-M330-N330+P330</f>
        <v>30.260000000000005</v>
      </c>
      <c r="R330" s="3"/>
      <c r="S330" s="3">
        <v>17.989999999999998</v>
      </c>
      <c r="T330" s="3">
        <v>1.49</v>
      </c>
      <c r="U330" s="3"/>
      <c r="V330" s="3"/>
      <c r="W330" s="3"/>
      <c r="X330" s="2">
        <f t="shared" ref="X330" si="725">+S330+T330++U330+V330-W330</f>
        <v>19.479999999999997</v>
      </c>
      <c r="Y330" s="6">
        <f t="shared" ref="Y330" si="726">+Q330-X330</f>
        <v>10.780000000000008</v>
      </c>
      <c r="Z330" s="2"/>
      <c r="AA330" s="2"/>
      <c r="AB330" s="2"/>
      <c r="AC330" s="3"/>
      <c r="AD330" s="2"/>
      <c r="AE330" s="2"/>
      <c r="AF330" s="2"/>
      <c r="AG330" s="2"/>
      <c r="AH330" s="2" t="s">
        <v>6619</v>
      </c>
      <c r="AI330" s="2" t="s">
        <v>6618</v>
      </c>
      <c r="AJ330" s="2"/>
      <c r="AK330" s="2"/>
      <c r="AL330" s="2" t="s">
        <v>6728</v>
      </c>
      <c r="AM330" s="16" t="s">
        <v>6892</v>
      </c>
      <c r="AN330" s="2"/>
      <c r="AO330" s="2" t="s">
        <v>6876</v>
      </c>
      <c r="AP330" s="2" t="s">
        <v>6830</v>
      </c>
      <c r="AQ330" s="2"/>
      <c r="AR330" s="16" t="s">
        <v>6877</v>
      </c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</row>
    <row r="331" spans="3:58" ht="17.25" customHeight="1">
      <c r="C331" s="1">
        <v>44007</v>
      </c>
      <c r="E331" s="2" t="s">
        <v>6309</v>
      </c>
      <c r="F331" s="15"/>
      <c r="G331" s="2" t="s">
        <v>6612</v>
      </c>
      <c r="H331" s="2" t="s">
        <v>6611</v>
      </c>
      <c r="I331" s="2"/>
      <c r="J331" s="2">
        <v>1</v>
      </c>
      <c r="K331" s="2"/>
      <c r="L331" s="3">
        <v>19.5</v>
      </c>
      <c r="M331" s="3">
        <v>1.95</v>
      </c>
      <c r="N331" s="3">
        <v>1.2</v>
      </c>
      <c r="O331" s="3">
        <v>0.98</v>
      </c>
      <c r="P331" s="3">
        <f>0.98-0.98</f>
        <v>0</v>
      </c>
      <c r="Q331" s="6">
        <f t="shared" ref="Q331:Q332" si="727">+L331-M331-N331+P331</f>
        <v>16.350000000000001</v>
      </c>
      <c r="R331" s="3"/>
      <c r="S331" s="3">
        <v>9.99</v>
      </c>
      <c r="T331" s="3">
        <v>0.5</v>
      </c>
      <c r="U331" s="3"/>
      <c r="V331" s="3"/>
      <c r="W331" s="3">
        <v>0</v>
      </c>
      <c r="X331" s="2">
        <f t="shared" ref="X331:X332" si="728">+S331+T331++U331+V331-W331</f>
        <v>10.49</v>
      </c>
      <c r="Y331" s="6">
        <f t="shared" ref="Y331:Y332" si="729">+Q331-X331</f>
        <v>5.8600000000000012</v>
      </c>
      <c r="Z331" s="2"/>
      <c r="AA331" s="2"/>
      <c r="AB331" s="2"/>
      <c r="AC331" s="3"/>
      <c r="AD331" s="2"/>
      <c r="AE331" s="2"/>
      <c r="AF331" s="2"/>
      <c r="AG331" s="2"/>
      <c r="AH331" s="2" t="s">
        <v>6614</v>
      </c>
      <c r="AI331" s="2" t="s">
        <v>6613</v>
      </c>
      <c r="AJ331" s="2"/>
      <c r="AK331" s="2"/>
      <c r="AL331" s="2" t="s">
        <v>6728</v>
      </c>
      <c r="AM331" s="16" t="s">
        <v>6883</v>
      </c>
      <c r="AN331" s="2"/>
      <c r="AO331" s="2" t="s">
        <v>6838</v>
      </c>
      <c r="AP331" s="2" t="s">
        <v>6615</v>
      </c>
      <c r="AQ331" s="2"/>
      <c r="AR331" s="16" t="s">
        <v>6716</v>
      </c>
      <c r="AS331" s="2" t="s">
        <v>6839</v>
      </c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</row>
    <row r="332" spans="3:58" ht="17.25" customHeight="1">
      <c r="C332" s="1">
        <v>44007</v>
      </c>
      <c r="E332" s="2" t="s">
        <v>6263</v>
      </c>
      <c r="F332" s="15"/>
      <c r="G332" s="2" t="s">
        <v>6639</v>
      </c>
      <c r="H332" s="2" t="s">
        <v>6638</v>
      </c>
      <c r="I332" s="2"/>
      <c r="J332" s="2">
        <v>1</v>
      </c>
      <c r="K332" s="2"/>
      <c r="L332" s="3">
        <v>27.95</v>
      </c>
      <c r="M332" s="3">
        <v>2.79</v>
      </c>
      <c r="N332" s="3">
        <v>1.65</v>
      </c>
      <c r="O332" s="3"/>
      <c r="P332" s="3">
        <v>2.8</v>
      </c>
      <c r="Q332" s="6">
        <f t="shared" si="727"/>
        <v>26.310000000000002</v>
      </c>
      <c r="R332" s="3"/>
      <c r="S332" s="3">
        <v>5.82</v>
      </c>
      <c r="T332" s="3">
        <v>0</v>
      </c>
      <c r="U332" s="3">
        <v>9.99</v>
      </c>
      <c r="V332" s="3"/>
      <c r="W332" s="3"/>
      <c r="X332" s="2">
        <f t="shared" si="728"/>
        <v>15.81</v>
      </c>
      <c r="Y332" s="6">
        <f t="shared" si="729"/>
        <v>10.500000000000002</v>
      </c>
      <c r="Z332" s="2"/>
      <c r="AA332" s="2"/>
      <c r="AB332" s="2"/>
      <c r="AC332" s="3"/>
      <c r="AD332" s="2"/>
      <c r="AE332" s="2"/>
      <c r="AF332" s="2"/>
      <c r="AG332" s="2"/>
      <c r="AH332" s="2" t="s">
        <v>6641</v>
      </c>
      <c r="AI332" s="2" t="s">
        <v>6640</v>
      </c>
      <c r="AJ332" s="2"/>
      <c r="AK332" s="2"/>
      <c r="AL332" s="2" t="s">
        <v>6728</v>
      </c>
      <c r="AM332" s="16" t="s">
        <v>7227</v>
      </c>
      <c r="AN332" s="2"/>
      <c r="AO332" s="16" t="s">
        <v>7228</v>
      </c>
      <c r="AP332" s="2" t="s">
        <v>7732</v>
      </c>
      <c r="AQ332" s="2" t="s">
        <v>6801</v>
      </c>
      <c r="AR332" s="16" t="s">
        <v>7192</v>
      </c>
      <c r="AS332" s="2"/>
      <c r="AT332" s="16" t="s">
        <v>6733</v>
      </c>
      <c r="AU332" s="2" t="s">
        <v>6698</v>
      </c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</row>
    <row r="333" spans="3:58" ht="17.25" customHeight="1">
      <c r="C333" s="1">
        <v>44007</v>
      </c>
      <c r="E333" s="2" t="s">
        <v>6633</v>
      </c>
      <c r="F333" s="15"/>
      <c r="G333" s="2" t="s">
        <v>6635</v>
      </c>
      <c r="H333" s="2" t="s">
        <v>6634</v>
      </c>
      <c r="I333" s="2"/>
      <c r="J333" s="2">
        <v>1</v>
      </c>
      <c r="K333" s="2"/>
      <c r="L333" s="3">
        <v>33.549999999999997</v>
      </c>
      <c r="M333" s="3">
        <v>3.35</v>
      </c>
      <c r="N333" s="3">
        <v>1.88</v>
      </c>
      <c r="O333" s="3">
        <v>2.35</v>
      </c>
      <c r="P333" s="3">
        <f>2.35-2.35</f>
        <v>0</v>
      </c>
      <c r="Q333" s="6">
        <f t="shared" ref="Q333" si="730">+L333-M333-N333+P333</f>
        <v>28.319999999999997</v>
      </c>
      <c r="R333" s="3"/>
      <c r="S333" s="3">
        <v>16.95</v>
      </c>
      <c r="T333" s="3">
        <v>1.54</v>
      </c>
      <c r="U333" s="3">
        <v>5</v>
      </c>
      <c r="V333" s="3"/>
      <c r="W333" s="3">
        <v>0</v>
      </c>
      <c r="X333" s="2">
        <f t="shared" ref="X333" si="731">+S333+T333++U333+V333-W333</f>
        <v>23.49</v>
      </c>
      <c r="Y333" s="6">
        <f t="shared" ref="Y333" si="732">+Q333-X333</f>
        <v>4.8299999999999983</v>
      </c>
      <c r="Z333" s="2"/>
      <c r="AA333" s="2"/>
      <c r="AB333" s="2"/>
      <c r="AC333" s="3"/>
      <c r="AD333" s="2"/>
      <c r="AE333" s="2"/>
      <c r="AF333" s="2"/>
      <c r="AG333" s="2"/>
      <c r="AH333" s="2" t="s">
        <v>6637</v>
      </c>
      <c r="AI333" s="2" t="s">
        <v>6636</v>
      </c>
      <c r="AJ333" s="2"/>
      <c r="AK333" s="2"/>
      <c r="AL333" s="2" t="s">
        <v>6781</v>
      </c>
      <c r="AM333" s="2" t="s">
        <v>6888</v>
      </c>
      <c r="AN333" s="2"/>
      <c r="AO333" s="2" t="s">
        <v>6879</v>
      </c>
      <c r="AP333" s="2" t="s">
        <v>6880</v>
      </c>
      <c r="AQ333" s="2"/>
      <c r="AR333" s="16" t="s">
        <v>6889</v>
      </c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</row>
    <row r="334" spans="3:58" ht="17.25" customHeight="1">
      <c r="C334" s="1">
        <v>44007</v>
      </c>
      <c r="E334" s="2" t="s">
        <v>1922</v>
      </c>
      <c r="F334" s="15"/>
      <c r="G334" s="2" t="s">
        <v>6602</v>
      </c>
      <c r="H334" s="2" t="s">
        <v>6601</v>
      </c>
      <c r="I334" s="2"/>
      <c r="J334" s="2">
        <v>1</v>
      </c>
      <c r="K334" s="2"/>
      <c r="L334" s="3">
        <v>25.5</v>
      </c>
      <c r="M334" s="3">
        <v>2.5499999999999998</v>
      </c>
      <c r="N334" s="3">
        <v>1.49</v>
      </c>
      <c r="O334" s="3">
        <v>1.53</v>
      </c>
      <c r="P334" s="3">
        <f>1.53-1.53</f>
        <v>0</v>
      </c>
      <c r="Q334" s="6">
        <f t="shared" ref="Q334" si="733">+L334-M334-N334+P334</f>
        <v>21.46</v>
      </c>
      <c r="R334" s="3"/>
      <c r="S334" s="3">
        <v>12.99</v>
      </c>
      <c r="T334" s="3">
        <v>0.78</v>
      </c>
      <c r="U334" s="3"/>
      <c r="V334" s="3"/>
      <c r="W334" s="3"/>
      <c r="X334" s="3">
        <f t="shared" ref="X334" si="734">+S334+T334++U334+V334-W334</f>
        <v>13.77</v>
      </c>
      <c r="Y334" s="6">
        <f t="shared" ref="Y334" si="735">+Q334-X334</f>
        <v>7.6900000000000013</v>
      </c>
      <c r="Z334" s="2"/>
      <c r="AA334" s="2"/>
      <c r="AB334" s="2"/>
      <c r="AC334" s="3"/>
      <c r="AD334" s="2"/>
      <c r="AE334" s="2"/>
      <c r="AF334" s="2"/>
      <c r="AG334" s="2"/>
      <c r="AH334" s="2" t="s">
        <v>6604</v>
      </c>
      <c r="AI334" s="2" t="s">
        <v>6603</v>
      </c>
      <c r="AJ334" s="2"/>
      <c r="AK334" s="2"/>
      <c r="AL334" s="2" t="s">
        <v>6643</v>
      </c>
      <c r="AM334" s="2" t="s">
        <v>6642</v>
      </c>
      <c r="AN334" s="2"/>
      <c r="AO334" s="2" t="s">
        <v>6607</v>
      </c>
      <c r="AP334" s="2" t="s">
        <v>591</v>
      </c>
      <c r="AQ334" s="2"/>
      <c r="AR334" s="16" t="s">
        <v>6693</v>
      </c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</row>
    <row r="335" spans="3:58" ht="17.25" customHeight="1">
      <c r="C335" s="1">
        <v>44007</v>
      </c>
      <c r="E335" s="2" t="s">
        <v>1922</v>
      </c>
      <c r="F335" s="15"/>
      <c r="G335" s="2" t="s">
        <v>6597</v>
      </c>
      <c r="H335" s="2" t="s">
        <v>6596</v>
      </c>
      <c r="I335" s="2"/>
      <c r="J335" s="2">
        <v>1</v>
      </c>
      <c r="K335" s="2"/>
      <c r="L335" s="3">
        <v>25.5</v>
      </c>
      <c r="M335" s="3">
        <v>2.5499999999999998</v>
      </c>
      <c r="N335" s="3">
        <v>1.5</v>
      </c>
      <c r="O335" s="3">
        <v>1.79</v>
      </c>
      <c r="P335" s="3">
        <f>1.79-1.79</f>
        <v>0</v>
      </c>
      <c r="Q335" s="6">
        <f t="shared" ref="Q335" si="736">+L335-M335-N335+P335</f>
        <v>21.45</v>
      </c>
      <c r="R335" s="3"/>
      <c r="S335" s="3">
        <v>12.99</v>
      </c>
      <c r="T335" s="3">
        <v>0.91</v>
      </c>
      <c r="U335" s="3"/>
      <c r="V335" s="3"/>
      <c r="W335" s="3"/>
      <c r="X335" s="3">
        <f t="shared" ref="X335" si="737">+S335+T335++U335+V335-W335</f>
        <v>13.9</v>
      </c>
      <c r="Y335" s="6">
        <f t="shared" ref="Y335" si="738">+Q335-X335</f>
        <v>7.5499999999999989</v>
      </c>
      <c r="Z335" s="2"/>
      <c r="AA335" s="2"/>
      <c r="AB335" s="2"/>
      <c r="AC335" s="3"/>
      <c r="AD335" s="2"/>
      <c r="AE335" s="2"/>
      <c r="AF335" s="2"/>
      <c r="AG335" s="2"/>
      <c r="AH335" s="2" t="s">
        <v>6599</v>
      </c>
      <c r="AI335" s="2" t="s">
        <v>6598</v>
      </c>
      <c r="AJ335" s="2"/>
      <c r="AK335" s="2"/>
      <c r="AL335" s="2" t="s">
        <v>6728</v>
      </c>
      <c r="AM335" s="16" t="s">
        <v>6727</v>
      </c>
      <c r="AN335" s="2"/>
      <c r="AO335" s="2" t="s">
        <v>6605</v>
      </c>
      <c r="AP335" s="2" t="s">
        <v>591</v>
      </c>
      <c r="AQ335" s="2"/>
      <c r="AR335" s="16" t="s">
        <v>6606</v>
      </c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</row>
    <row r="336" spans="3:58" ht="17.25" customHeight="1">
      <c r="C336" s="1">
        <v>44007</v>
      </c>
      <c r="E336" s="2" t="s">
        <v>61</v>
      </c>
      <c r="F336" s="15"/>
      <c r="G336" s="2" t="s">
        <v>6593</v>
      </c>
      <c r="H336" s="2" t="s">
        <v>6592</v>
      </c>
      <c r="I336" s="2"/>
      <c r="J336" s="2">
        <v>1</v>
      </c>
      <c r="K336" s="2"/>
      <c r="L336" s="3">
        <v>45.7</v>
      </c>
      <c r="M336" s="3">
        <v>4.57</v>
      </c>
      <c r="N336" s="3">
        <v>2.4500000000000002</v>
      </c>
      <c r="O336" s="3">
        <v>3.2</v>
      </c>
      <c r="P336" s="3">
        <f>3.2-3.2</f>
        <v>0</v>
      </c>
      <c r="Q336" s="6">
        <f t="shared" ref="Q336" si="739">+L336-M336-N336+P336</f>
        <v>38.68</v>
      </c>
      <c r="R336" s="3"/>
      <c r="S336" s="3">
        <v>25.98</v>
      </c>
      <c r="T336" s="3">
        <v>1.82</v>
      </c>
      <c r="U336" s="3">
        <v>5</v>
      </c>
      <c r="V336" s="3"/>
      <c r="W336" s="3"/>
      <c r="X336" s="2">
        <f t="shared" ref="X336" si="740">+S336+T336++U336+V336-W336</f>
        <v>32.799999999999997</v>
      </c>
      <c r="Y336" s="6">
        <f t="shared" ref="Y336" si="741">+Q336-X336</f>
        <v>5.8800000000000026</v>
      </c>
      <c r="Z336" s="2"/>
      <c r="AA336" s="2"/>
      <c r="AB336" s="2"/>
      <c r="AC336" s="3"/>
      <c r="AD336" s="2"/>
      <c r="AE336" s="2"/>
      <c r="AF336" s="2"/>
      <c r="AG336" s="2"/>
      <c r="AH336" s="2" t="s">
        <v>6595</v>
      </c>
      <c r="AI336" s="2" t="s">
        <v>6594</v>
      </c>
      <c r="AJ336" s="2"/>
      <c r="AK336" s="2"/>
      <c r="AL336" s="2" t="s">
        <v>7031</v>
      </c>
      <c r="AM336" s="2" t="s">
        <v>7064</v>
      </c>
      <c r="AN336" s="2"/>
      <c r="AO336" s="2" t="s">
        <v>6831</v>
      </c>
      <c r="AP336" s="2" t="s">
        <v>6419</v>
      </c>
      <c r="AQ336" s="2"/>
      <c r="AR336" s="16" t="s">
        <v>6716</v>
      </c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</row>
    <row r="337" spans="3:58" ht="17.25" customHeight="1">
      <c r="C337" s="1">
        <v>44007</v>
      </c>
      <c r="E337" s="2" t="s">
        <v>6529</v>
      </c>
      <c r="F337" s="15"/>
      <c r="G337" s="2" t="s">
        <v>6583</v>
      </c>
      <c r="H337" s="2" t="s">
        <v>6586</v>
      </c>
      <c r="I337" s="2"/>
      <c r="J337" s="2">
        <v>1</v>
      </c>
      <c r="K337" s="2"/>
      <c r="L337" s="3">
        <v>28.5</v>
      </c>
      <c r="M337" s="3">
        <v>2.85</v>
      </c>
      <c r="N337" s="3">
        <v>1.55</v>
      </c>
      <c r="O337" s="3"/>
      <c r="P337" s="3">
        <v>0</v>
      </c>
      <c r="Q337" s="6">
        <f t="shared" ref="Q337" si="742">+L337-M337-N337+P337</f>
        <v>24.099999999999998</v>
      </c>
      <c r="R337" s="3"/>
      <c r="S337" s="3">
        <v>17.72</v>
      </c>
      <c r="T337" s="3">
        <v>2.04</v>
      </c>
      <c r="U337" s="3"/>
      <c r="V337" s="3"/>
      <c r="W337" s="3"/>
      <c r="X337" s="2">
        <f t="shared" ref="X337" si="743">+S337+T337++U337+V337-W337</f>
        <v>19.759999999999998</v>
      </c>
      <c r="Y337" s="6">
        <f t="shared" ref="Y337" si="744">+Q337-X337</f>
        <v>4.34</v>
      </c>
      <c r="Z337" s="2"/>
      <c r="AA337" s="2"/>
      <c r="AB337" s="2"/>
      <c r="AC337" s="3"/>
      <c r="AD337" s="2"/>
      <c r="AE337" s="2"/>
      <c r="AF337" s="2"/>
      <c r="AG337" s="2"/>
      <c r="AH337" s="2" t="s">
        <v>6585</v>
      </c>
      <c r="AI337" s="2" t="s">
        <v>6584</v>
      </c>
      <c r="AJ337" s="2"/>
      <c r="AK337" s="2"/>
      <c r="AL337" s="2" t="s">
        <v>6728</v>
      </c>
      <c r="AM337" s="16" t="s">
        <v>7263</v>
      </c>
      <c r="AN337" s="2"/>
      <c r="AO337" s="2" t="s">
        <v>6590</v>
      </c>
      <c r="AP337" s="2" t="s">
        <v>6717</v>
      </c>
      <c r="AQ337" s="2"/>
      <c r="AR337" s="16" t="s">
        <v>6591</v>
      </c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</row>
    <row r="338" spans="3:58" ht="17.25" customHeight="1">
      <c r="C338" s="1">
        <v>44007</v>
      </c>
      <c r="E338" s="2" t="s">
        <v>6561</v>
      </c>
      <c r="F338" s="15"/>
      <c r="G338" s="2" t="s">
        <v>6580</v>
      </c>
      <c r="H338" s="2" t="s">
        <v>6579</v>
      </c>
      <c r="I338" s="2"/>
      <c r="J338" s="2">
        <v>1</v>
      </c>
      <c r="K338" s="2"/>
      <c r="L338" s="3">
        <v>84.5</v>
      </c>
      <c r="M338" s="3">
        <v>8.4499999999999993</v>
      </c>
      <c r="N338" s="3">
        <v>4.25</v>
      </c>
      <c r="O338" s="3">
        <v>6.55</v>
      </c>
      <c r="P338" s="3">
        <f>6.55-6.55</f>
        <v>0</v>
      </c>
      <c r="Q338" s="6">
        <f t="shared" ref="Q338" si="745">+L338-M338-N338+P338</f>
        <v>71.8</v>
      </c>
      <c r="R338" s="3"/>
      <c r="S338" s="3">
        <v>65.19</v>
      </c>
      <c r="T338" s="3">
        <v>4.07</v>
      </c>
      <c r="U338" s="3"/>
      <c r="V338" s="3"/>
      <c r="W338" s="3">
        <f>6.51+0.4</f>
        <v>6.91</v>
      </c>
      <c r="X338" s="2">
        <f t="shared" ref="X338" si="746">+S338+T338++U338+V338-W338</f>
        <v>62.349999999999994</v>
      </c>
      <c r="Y338" s="6">
        <f t="shared" ref="Y338" si="747">+Q338-X338</f>
        <v>9.4500000000000028</v>
      </c>
      <c r="Z338" s="6">
        <f>SUM(Y327:Y338)</f>
        <v>89.42000000000003</v>
      </c>
      <c r="AA338" s="2"/>
      <c r="AB338" s="2"/>
      <c r="AC338" s="3"/>
      <c r="AD338" s="2"/>
      <c r="AE338" s="2"/>
      <c r="AF338" s="2"/>
      <c r="AG338" s="2"/>
      <c r="AH338" s="2" t="s">
        <v>6582</v>
      </c>
      <c r="AI338" s="2" t="s">
        <v>6581</v>
      </c>
      <c r="AJ338" s="2"/>
      <c r="AK338" s="2"/>
      <c r="AL338" s="2" t="s">
        <v>6872</v>
      </c>
      <c r="AM338" s="16" t="s">
        <v>6871</v>
      </c>
      <c r="AN338" s="2"/>
      <c r="AO338" s="2" t="s">
        <v>6826</v>
      </c>
      <c r="AP338" s="2" t="s">
        <v>6562</v>
      </c>
      <c r="AQ338" s="2"/>
      <c r="AR338" s="16" t="s">
        <v>6827</v>
      </c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</row>
    <row r="339" spans="3:58" ht="17.25" customHeight="1">
      <c r="C339" s="1">
        <v>44006</v>
      </c>
      <c r="E339" s="2" t="s">
        <v>6263</v>
      </c>
      <c r="F339" s="15"/>
      <c r="G339" s="2" t="s">
        <v>6542</v>
      </c>
      <c r="H339" s="2" t="s">
        <v>6653</v>
      </c>
      <c r="I339" s="2"/>
      <c r="J339" s="2">
        <v>1</v>
      </c>
      <c r="K339" s="2"/>
      <c r="L339" s="3">
        <v>0</v>
      </c>
      <c r="M339" s="3">
        <v>0</v>
      </c>
      <c r="N339" s="3">
        <v>0</v>
      </c>
      <c r="O339" s="3"/>
      <c r="P339" s="3">
        <v>0</v>
      </c>
      <c r="Q339" s="6">
        <f t="shared" ref="Q339" si="748">+L339-M339-N339+P339</f>
        <v>0</v>
      </c>
      <c r="R339" s="3"/>
      <c r="S339" s="3">
        <v>0</v>
      </c>
      <c r="T339" s="3">
        <v>0</v>
      </c>
      <c r="U339" s="3"/>
      <c r="V339" s="3"/>
      <c r="W339" s="3"/>
      <c r="X339" s="2">
        <f t="shared" ref="X339" si="749">+S339+T339++U339+V339-W339</f>
        <v>0</v>
      </c>
      <c r="Y339" s="6">
        <f t="shared" ref="Y339" si="750">+Q339-X339</f>
        <v>0</v>
      </c>
      <c r="Z339" s="2"/>
      <c r="AA339" s="2"/>
      <c r="AB339" s="2"/>
      <c r="AC339" s="3"/>
      <c r="AD339" s="2"/>
      <c r="AE339" s="2"/>
      <c r="AF339" s="2"/>
      <c r="AG339" s="2"/>
      <c r="AH339" s="2" t="s">
        <v>6544</v>
      </c>
      <c r="AI339" s="2" t="s">
        <v>6543</v>
      </c>
      <c r="AJ339" s="2"/>
      <c r="AK339" s="2"/>
      <c r="AL339" s="2"/>
      <c r="AM339" s="2" t="s">
        <v>6441</v>
      </c>
      <c r="AN339" s="2"/>
      <c r="AO339" s="5" t="s">
        <v>3904</v>
      </c>
      <c r="AP339" s="5" t="s">
        <v>3904</v>
      </c>
      <c r="AQ339" s="5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</row>
    <row r="340" spans="3:58" ht="17.25" customHeight="1">
      <c r="C340" s="1">
        <v>44006</v>
      </c>
      <c r="E340" s="2" t="s">
        <v>4038</v>
      </c>
      <c r="F340" s="15"/>
      <c r="G340" s="2" t="s">
        <v>6539</v>
      </c>
      <c r="H340" s="2" t="s">
        <v>6538</v>
      </c>
      <c r="I340" s="2"/>
      <c r="J340" s="2">
        <v>1</v>
      </c>
      <c r="K340" s="2"/>
      <c r="L340" s="3">
        <v>32.75</v>
      </c>
      <c r="M340" s="3">
        <v>3.27</v>
      </c>
      <c r="N340" s="3">
        <v>1.87</v>
      </c>
      <c r="O340" s="3">
        <v>2.91</v>
      </c>
      <c r="P340" s="3">
        <f>2.91-2.91</f>
        <v>0</v>
      </c>
      <c r="Q340" s="6">
        <f t="shared" ref="Q340" si="751">+L340-M340-N340+P340</f>
        <v>27.61</v>
      </c>
      <c r="R340" s="3"/>
      <c r="S340" s="3">
        <v>16.95</v>
      </c>
      <c r="T340" s="3">
        <v>1.95</v>
      </c>
      <c r="U340" s="3">
        <v>5</v>
      </c>
      <c r="V340" s="3"/>
      <c r="W340" s="3">
        <v>0</v>
      </c>
      <c r="X340" s="2">
        <f t="shared" ref="X340" si="752">+S340+T340++U340+V340-W340</f>
        <v>23.9</v>
      </c>
      <c r="Y340" s="6">
        <f t="shared" ref="Y340" si="753">+Q340-X340</f>
        <v>3.7100000000000009</v>
      </c>
      <c r="Z340" s="2"/>
      <c r="AA340" s="2"/>
      <c r="AB340" s="2"/>
      <c r="AC340" s="3"/>
      <c r="AD340" s="2"/>
      <c r="AE340" s="2"/>
      <c r="AF340" s="2"/>
      <c r="AG340" s="2"/>
      <c r="AH340" s="2" t="s">
        <v>6541</v>
      </c>
      <c r="AI340" s="2" t="s">
        <v>6540</v>
      </c>
      <c r="AJ340" s="2"/>
      <c r="AK340" s="2"/>
      <c r="AL340" s="2" t="s">
        <v>6833</v>
      </c>
      <c r="AM340" s="2" t="s">
        <v>6832</v>
      </c>
      <c r="AN340" s="2"/>
      <c r="AO340" s="2" t="s">
        <v>6783</v>
      </c>
      <c r="AP340" s="2" t="s">
        <v>6784</v>
      </c>
      <c r="AQ340" s="2"/>
      <c r="AR340" s="16" t="s">
        <v>6829</v>
      </c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</row>
    <row r="341" spans="3:58" ht="17.25" customHeight="1">
      <c r="C341" s="1">
        <v>44006</v>
      </c>
      <c r="E341" s="2" t="s">
        <v>6529</v>
      </c>
      <c r="F341" s="15"/>
      <c r="G341" s="2" t="s">
        <v>6535</v>
      </c>
      <c r="H341" s="2" t="s">
        <v>6557</v>
      </c>
      <c r="I341" s="2"/>
      <c r="J341" s="2">
        <v>1</v>
      </c>
      <c r="K341" s="2"/>
      <c r="L341" s="3">
        <v>28.5</v>
      </c>
      <c r="M341" s="3">
        <v>2.85</v>
      </c>
      <c r="N341" s="3">
        <v>1.55</v>
      </c>
      <c r="O341" s="3"/>
      <c r="P341" s="3">
        <v>0</v>
      </c>
      <c r="Q341" s="6">
        <f t="shared" ref="Q341" si="754">+L341-M341-N341+P341</f>
        <v>24.099999999999998</v>
      </c>
      <c r="R341" s="3"/>
      <c r="S341" s="3">
        <v>17.72</v>
      </c>
      <c r="T341" s="3">
        <v>2.04</v>
      </c>
      <c r="U341" s="3"/>
      <c r="V341" s="3"/>
      <c r="W341" s="3"/>
      <c r="X341" s="2">
        <f t="shared" ref="X341" si="755">+S341+T341++U341+V341-W341</f>
        <v>19.759999999999998</v>
      </c>
      <c r="Y341" s="6">
        <f t="shared" ref="Y341" si="756">+Q341-X341</f>
        <v>4.34</v>
      </c>
      <c r="Z341" s="2"/>
      <c r="AA341" s="2"/>
      <c r="AB341" s="2"/>
      <c r="AC341" s="3"/>
      <c r="AD341" s="2"/>
      <c r="AE341" s="2"/>
      <c r="AF341" s="2"/>
      <c r="AG341" s="2"/>
      <c r="AH341" s="2" t="s">
        <v>6537</v>
      </c>
      <c r="AI341" s="2" t="s">
        <v>6536</v>
      </c>
      <c r="AJ341" s="2"/>
      <c r="AK341" s="2"/>
      <c r="AL341" s="2" t="s">
        <v>6833</v>
      </c>
      <c r="AM341" s="2" t="s">
        <v>7279</v>
      </c>
      <c r="AN341" s="2"/>
      <c r="AO341" s="2" t="s">
        <v>6559</v>
      </c>
      <c r="AP341" s="2" t="s">
        <v>6368</v>
      </c>
      <c r="AQ341" s="2" t="s">
        <v>6717</v>
      </c>
      <c r="AR341" s="16" t="s">
        <v>6560</v>
      </c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</row>
    <row r="342" spans="3:58" ht="17.25" customHeight="1">
      <c r="C342" s="1">
        <v>44006</v>
      </c>
      <c r="E342" s="2" t="s">
        <v>6529</v>
      </c>
      <c r="F342" s="15"/>
      <c r="G342" s="2" t="s">
        <v>6528</v>
      </c>
      <c r="H342" s="2" t="s">
        <v>6527</v>
      </c>
      <c r="I342" s="2"/>
      <c r="J342" s="2">
        <v>1</v>
      </c>
      <c r="K342" s="2"/>
      <c r="L342" s="3">
        <v>27</v>
      </c>
      <c r="M342" s="3">
        <v>2.7</v>
      </c>
      <c r="N342" s="3">
        <v>1.59</v>
      </c>
      <c r="O342" s="3">
        <v>2.4300000000000002</v>
      </c>
      <c r="P342" s="3">
        <f>2.43-2.43</f>
        <v>0</v>
      </c>
      <c r="Q342" s="6">
        <f t="shared" ref="Q342:Q343" si="757">+L342-M342-N342+P342</f>
        <v>22.71</v>
      </c>
      <c r="R342" s="3"/>
      <c r="S342" s="3">
        <v>17.72</v>
      </c>
      <c r="T342" s="3">
        <v>1.59</v>
      </c>
      <c r="U342" s="3"/>
      <c r="V342" s="3"/>
      <c r="W342" s="3"/>
      <c r="X342" s="2">
        <f t="shared" ref="X342" si="758">+S342+T342++U342+V342-W342</f>
        <v>19.309999999999999</v>
      </c>
      <c r="Y342" s="6">
        <f t="shared" ref="Y342" si="759">+Q342-X342</f>
        <v>3.4000000000000021</v>
      </c>
      <c r="Z342" s="2"/>
      <c r="AA342" s="2"/>
      <c r="AB342" s="2"/>
      <c r="AC342" s="3"/>
      <c r="AD342" s="2"/>
      <c r="AE342" s="2"/>
      <c r="AF342" s="2"/>
      <c r="AG342" s="2"/>
      <c r="AH342" s="2" t="s">
        <v>6531</v>
      </c>
      <c r="AI342" s="2" t="s">
        <v>6530</v>
      </c>
      <c r="AJ342" s="2"/>
      <c r="AK342" s="2"/>
      <c r="AL342" s="2" t="s">
        <v>6972</v>
      </c>
      <c r="AM342" s="2" t="s">
        <v>6994</v>
      </c>
      <c r="AN342" s="2"/>
      <c r="AO342" s="2" t="s">
        <v>6558</v>
      </c>
      <c r="AP342" s="2" t="s">
        <v>3685</v>
      </c>
      <c r="AQ342" s="2" t="s">
        <v>6717</v>
      </c>
      <c r="AR342" s="16" t="s">
        <v>7128</v>
      </c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</row>
    <row r="343" spans="3:58" ht="17.25" customHeight="1">
      <c r="C343" s="1">
        <v>44006</v>
      </c>
      <c r="E343" s="2" t="s">
        <v>2229</v>
      </c>
      <c r="F343" s="15"/>
      <c r="G343" s="2" t="s">
        <v>6523</v>
      </c>
      <c r="H343" s="2" t="s">
        <v>6522</v>
      </c>
      <c r="I343" s="2"/>
      <c r="J343" s="2">
        <v>1</v>
      </c>
      <c r="K343" s="2"/>
      <c r="L343" s="3">
        <v>61.5</v>
      </c>
      <c r="M343" s="3">
        <v>6.15</v>
      </c>
      <c r="N343" s="3">
        <v>3.23</v>
      </c>
      <c r="O343" s="3">
        <v>5.07</v>
      </c>
      <c r="P343" s="3">
        <f>5.07-5.07</f>
        <v>0</v>
      </c>
      <c r="Q343" s="6">
        <f t="shared" si="757"/>
        <v>52.120000000000005</v>
      </c>
      <c r="R343" s="3"/>
      <c r="S343" s="3">
        <v>40</v>
      </c>
      <c r="T343" s="3">
        <v>3.3</v>
      </c>
      <c r="U343" s="3">
        <v>5</v>
      </c>
      <c r="V343" s="3"/>
      <c r="W343" s="3"/>
      <c r="X343" s="2">
        <f t="shared" ref="X343" si="760">+S343+T343++U343+V343-W343</f>
        <v>48.3</v>
      </c>
      <c r="Y343" s="6">
        <f t="shared" ref="Y343" si="761">+Q343-X343</f>
        <v>3.8200000000000074</v>
      </c>
      <c r="Z343" s="2"/>
      <c r="AA343" s="2"/>
      <c r="AB343" s="2"/>
      <c r="AC343" s="3"/>
      <c r="AD343" s="2"/>
      <c r="AE343" s="2"/>
      <c r="AF343" s="2"/>
      <c r="AG343" s="2"/>
      <c r="AH343" s="2" t="s">
        <v>6534</v>
      </c>
      <c r="AI343" s="2" t="s">
        <v>6533</v>
      </c>
      <c r="AJ343" s="2"/>
      <c r="AK343" s="2"/>
      <c r="AL343" s="2" t="s">
        <v>6872</v>
      </c>
      <c r="AM343" s="2" t="s">
        <v>7062</v>
      </c>
      <c r="AN343" s="2"/>
      <c r="AO343" s="2" t="s">
        <v>6768</v>
      </c>
      <c r="AP343" s="2" t="s">
        <v>6532</v>
      </c>
      <c r="AQ343" s="2"/>
      <c r="AR343" s="16" t="s">
        <v>7063</v>
      </c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</row>
    <row r="344" spans="3:58" ht="17.25" customHeight="1">
      <c r="C344" s="1">
        <v>44006</v>
      </c>
      <c r="E344" s="2" t="s">
        <v>6375</v>
      </c>
      <c r="F344" s="15"/>
      <c r="G344" s="2" t="s">
        <v>6519</v>
      </c>
      <c r="H344" s="2" t="s">
        <v>6518</v>
      </c>
      <c r="I344" s="2"/>
      <c r="J344" s="2">
        <v>1</v>
      </c>
      <c r="K344" s="2"/>
      <c r="L344" s="3">
        <v>62.95</v>
      </c>
      <c r="M344" s="3">
        <v>6.29</v>
      </c>
      <c r="N344" s="3">
        <v>3.26</v>
      </c>
      <c r="O344" s="3">
        <v>4.41</v>
      </c>
      <c r="P344" s="3">
        <f>4.41-4.41</f>
        <v>0</v>
      </c>
      <c r="Q344" s="6">
        <f t="shared" ref="Q344" si="762">+L344-M344-N344+P344</f>
        <v>53.400000000000006</v>
      </c>
      <c r="R344" s="3"/>
      <c r="S344" s="3">
        <v>49.69</v>
      </c>
      <c r="T344" s="3">
        <v>3.48</v>
      </c>
      <c r="U344" s="3"/>
      <c r="V344" s="3"/>
      <c r="W344" s="3"/>
      <c r="X344" s="2">
        <f t="shared" ref="X344" si="763">+S344+T344++U344+V344-W344</f>
        <v>53.169999999999995</v>
      </c>
      <c r="Y344" s="6">
        <f t="shared" ref="Y344" si="764">+Q344-X344</f>
        <v>0.23000000000001108</v>
      </c>
      <c r="Z344" s="6">
        <f>SUM(Y339:Y344)</f>
        <v>15.500000000000021</v>
      </c>
      <c r="AA344" s="2"/>
      <c r="AB344" s="2"/>
      <c r="AC344" s="3"/>
      <c r="AD344" s="2"/>
      <c r="AE344" s="2"/>
      <c r="AF344" s="2"/>
      <c r="AG344" s="2"/>
      <c r="AH344" s="2" t="s">
        <v>6521</v>
      </c>
      <c r="AI344" s="2" t="s">
        <v>6520</v>
      </c>
      <c r="AJ344" s="2"/>
      <c r="AK344" s="2"/>
      <c r="AL344" s="2" t="s">
        <v>6425</v>
      </c>
      <c r="AM344" s="16" t="s">
        <v>6696</v>
      </c>
      <c r="AN344" s="2"/>
      <c r="AO344" s="2" t="s">
        <v>6546</v>
      </c>
      <c r="AP344" s="2" t="s">
        <v>6547</v>
      </c>
      <c r="AQ344" s="2"/>
      <c r="AR344" s="16" t="s">
        <v>6548</v>
      </c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</row>
    <row r="345" spans="3:58" ht="17.25" customHeight="1">
      <c r="C345" s="1">
        <v>44005</v>
      </c>
      <c r="E345" s="2" t="s">
        <v>6062</v>
      </c>
      <c r="F345" s="15"/>
      <c r="G345" s="2" t="s">
        <v>6517</v>
      </c>
      <c r="H345" s="2" t="s">
        <v>6516</v>
      </c>
      <c r="I345" s="2"/>
      <c r="J345" s="2">
        <v>1</v>
      </c>
      <c r="K345" s="2"/>
      <c r="L345" s="3">
        <v>33.5</v>
      </c>
      <c r="M345" s="3">
        <v>3.35</v>
      </c>
      <c r="N345" s="3">
        <v>1.89</v>
      </c>
      <c r="O345" s="3">
        <v>2.6</v>
      </c>
      <c r="P345" s="3">
        <f>2.6-2.6</f>
        <v>0</v>
      </c>
      <c r="Q345" s="6">
        <f t="shared" ref="Q345" si="765">+L345-M345-N345+P345</f>
        <v>28.259999999999998</v>
      </c>
      <c r="R345" s="3"/>
      <c r="S345" s="3">
        <v>19.989999999999998</v>
      </c>
      <c r="T345" s="3">
        <v>1.55</v>
      </c>
      <c r="U345" s="3"/>
      <c r="V345" s="3"/>
      <c r="W345" s="3"/>
      <c r="X345" s="2">
        <f t="shared" ref="X345" si="766">+S345+T345++U345+V345-W345</f>
        <v>21.54</v>
      </c>
      <c r="Y345" s="6">
        <f t="shared" ref="Y345" si="767">+Q345-X345</f>
        <v>6.7199999999999989</v>
      </c>
      <c r="Z345" s="2"/>
      <c r="AA345" s="2"/>
      <c r="AB345" s="2"/>
      <c r="AC345" s="3"/>
      <c r="AD345" s="2"/>
      <c r="AE345" s="2"/>
      <c r="AF345" s="2"/>
      <c r="AG345" s="2"/>
      <c r="AH345" s="2" t="s">
        <v>6515</v>
      </c>
      <c r="AI345" s="2" t="s">
        <v>6514</v>
      </c>
      <c r="AJ345" s="2"/>
      <c r="AK345" s="2"/>
      <c r="AL345" s="2" t="s">
        <v>6382</v>
      </c>
      <c r="AM345" s="2" t="s">
        <v>6695</v>
      </c>
      <c r="AN345" s="2"/>
      <c r="AO345" s="2" t="s">
        <v>6657</v>
      </c>
      <c r="AP345" s="2" t="s">
        <v>6547</v>
      </c>
      <c r="AQ345" s="2"/>
      <c r="AR345" s="16" t="s">
        <v>6729</v>
      </c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</row>
    <row r="346" spans="3:58" ht="17.25" customHeight="1">
      <c r="C346" s="1">
        <v>44005</v>
      </c>
      <c r="E346" s="2" t="s">
        <v>6263</v>
      </c>
      <c r="F346" s="15"/>
      <c r="G346" s="2" t="s">
        <v>6511</v>
      </c>
      <c r="H346" s="2" t="s">
        <v>6510</v>
      </c>
      <c r="I346" s="2"/>
      <c r="J346" s="2">
        <v>1</v>
      </c>
      <c r="K346" s="2"/>
      <c r="L346" s="3">
        <v>27.95</v>
      </c>
      <c r="M346" s="3">
        <v>2.79</v>
      </c>
      <c r="N346" s="3">
        <v>1.6</v>
      </c>
      <c r="O346" s="3">
        <v>1.68</v>
      </c>
      <c r="P346" s="3">
        <f>1.68-1.68</f>
        <v>0</v>
      </c>
      <c r="Q346" s="6">
        <f t="shared" ref="Q346" si="768">+L346-M346-N346+P346</f>
        <v>23.56</v>
      </c>
      <c r="R346" s="3"/>
      <c r="S346" s="3">
        <v>15.21</v>
      </c>
      <c r="T346" s="3">
        <v>0.91</v>
      </c>
      <c r="U346" s="3"/>
      <c r="V346" s="3"/>
      <c r="W346" s="3"/>
      <c r="X346" s="2">
        <f t="shared" ref="X346" si="769">+S346+T346++U346+V346-W346</f>
        <v>16.12</v>
      </c>
      <c r="Y346" s="6">
        <f t="shared" ref="Y346" si="770">+Q346-X346</f>
        <v>7.4399999999999977</v>
      </c>
      <c r="Z346" s="2"/>
      <c r="AA346" s="2"/>
      <c r="AB346" s="2"/>
      <c r="AC346" s="3"/>
      <c r="AD346" s="2"/>
      <c r="AE346" s="2"/>
      <c r="AF346" s="2"/>
      <c r="AG346" s="2"/>
      <c r="AH346" s="2" t="s">
        <v>6509</v>
      </c>
      <c r="AI346" s="2" t="s">
        <v>6508</v>
      </c>
      <c r="AJ346" s="2"/>
      <c r="AK346" s="2"/>
      <c r="AL346" s="2" t="s">
        <v>745</v>
      </c>
      <c r="AM346" s="2" t="s">
        <v>7105</v>
      </c>
      <c r="AN346" s="2"/>
      <c r="AO346" s="16" t="s">
        <v>7104</v>
      </c>
      <c r="AP346" s="2" t="s">
        <v>6553</v>
      </c>
      <c r="AQ346" s="2" t="s">
        <v>6418</v>
      </c>
      <c r="AR346" s="16" t="s">
        <v>7063</v>
      </c>
      <c r="AS346" s="2"/>
      <c r="AT346" s="16" t="s">
        <v>6730</v>
      </c>
      <c r="AU346" s="2" t="s">
        <v>6698</v>
      </c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</row>
    <row r="347" spans="3:58" ht="17.25" customHeight="1">
      <c r="C347" s="1">
        <v>44005</v>
      </c>
      <c r="E347" s="2" t="s">
        <v>6476</v>
      </c>
      <c r="F347" s="15"/>
      <c r="G347" s="2" t="s">
        <v>6486</v>
      </c>
      <c r="H347" s="2" t="s">
        <v>6485</v>
      </c>
      <c r="I347" s="2"/>
      <c r="J347" s="2">
        <v>1</v>
      </c>
      <c r="K347" s="2"/>
      <c r="L347" s="3">
        <v>22.99</v>
      </c>
      <c r="M347" s="3">
        <v>2.29</v>
      </c>
      <c r="N347" s="3">
        <v>1.37</v>
      </c>
      <c r="O347" s="3">
        <v>2.0699999999999998</v>
      </c>
      <c r="P347" s="3">
        <f>2.07-2.07</f>
        <v>0</v>
      </c>
      <c r="Q347" s="6">
        <f t="shared" ref="Q347" si="771">+L347-M347-N347+P347</f>
        <v>19.329999999999998</v>
      </c>
      <c r="R347" s="3"/>
      <c r="S347" s="3">
        <v>13.95</v>
      </c>
      <c r="T347" s="3">
        <v>0.74</v>
      </c>
      <c r="U347" s="3"/>
      <c r="V347" s="3"/>
      <c r="W347" s="3">
        <v>1.39</v>
      </c>
      <c r="X347" s="2">
        <f t="shared" ref="X347" si="772">+S347+T347++U347+V347-W347</f>
        <v>13.299999999999999</v>
      </c>
      <c r="Y347" s="6">
        <f t="shared" ref="Y347" si="773">+Q347-X347</f>
        <v>6.0299999999999994</v>
      </c>
      <c r="Z347" s="2"/>
      <c r="AA347" s="2"/>
      <c r="AB347" s="2"/>
      <c r="AC347" s="3"/>
      <c r="AD347" s="2"/>
      <c r="AE347" s="2"/>
      <c r="AF347" s="2"/>
      <c r="AG347" s="2"/>
      <c r="AH347" s="2" t="s">
        <v>6488</v>
      </c>
      <c r="AI347" s="2" t="s">
        <v>6487</v>
      </c>
      <c r="AJ347" s="2"/>
      <c r="AK347" s="2"/>
      <c r="AL347" s="2" t="s">
        <v>6348</v>
      </c>
      <c r="AM347" s="16" t="s">
        <v>6588</v>
      </c>
      <c r="AN347" s="2"/>
      <c r="AO347" s="2" t="s">
        <v>6497</v>
      </c>
      <c r="AP347" s="2" t="s">
        <v>3252</v>
      </c>
      <c r="AQ347" s="2"/>
      <c r="AR347" s="16" t="s">
        <v>6498</v>
      </c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</row>
    <row r="348" spans="3:58" ht="17.25" customHeight="1">
      <c r="C348" s="1">
        <v>44005</v>
      </c>
      <c r="E348" s="2" t="s">
        <v>6263</v>
      </c>
      <c r="F348" s="15"/>
      <c r="G348" s="2" t="s">
        <v>6482</v>
      </c>
      <c r="H348" s="2" t="s">
        <v>6481</v>
      </c>
      <c r="I348" s="2"/>
      <c r="J348" s="2">
        <v>1</v>
      </c>
      <c r="K348" s="2"/>
      <c r="L348" s="3">
        <v>27.95</v>
      </c>
      <c r="M348" s="3">
        <v>2.79</v>
      </c>
      <c r="N348" s="3">
        <v>1.62</v>
      </c>
      <c r="O348" s="3"/>
      <c r="P348" s="3">
        <v>2.0299999999999998</v>
      </c>
      <c r="Q348" s="6">
        <f t="shared" ref="Q348" si="774">+L348-M348-N348+P348</f>
        <v>25.57</v>
      </c>
      <c r="R348" s="3"/>
      <c r="S348" s="3">
        <v>15.21</v>
      </c>
      <c r="T348" s="3">
        <v>1.1000000000000001</v>
      </c>
      <c r="U348" s="3"/>
      <c r="V348" s="3"/>
      <c r="W348" s="3"/>
      <c r="X348" s="2">
        <f t="shared" ref="X348" si="775">+S348+T348++U348+V348-W348</f>
        <v>16.310000000000002</v>
      </c>
      <c r="Y348" s="6">
        <f t="shared" ref="Y348" si="776">+Q348-X348</f>
        <v>9.259999999999998</v>
      </c>
      <c r="Z348" s="2"/>
      <c r="AA348" s="2"/>
      <c r="AB348" s="2"/>
      <c r="AC348" s="3"/>
      <c r="AD348" s="2"/>
      <c r="AE348" s="2"/>
      <c r="AF348" s="2"/>
      <c r="AG348" s="2"/>
      <c r="AH348" s="2" t="s">
        <v>6484</v>
      </c>
      <c r="AI348" s="2" t="s">
        <v>6483</v>
      </c>
      <c r="AJ348" s="2"/>
      <c r="AK348" s="2"/>
      <c r="AL348" s="2" t="s">
        <v>745</v>
      </c>
      <c r="AM348" s="2" t="s">
        <v>7103</v>
      </c>
      <c r="AN348" s="2"/>
      <c r="AO348" s="16" t="s">
        <v>7101</v>
      </c>
      <c r="AP348" s="2" t="s">
        <v>6553</v>
      </c>
      <c r="AQ348" s="2" t="s">
        <v>6418</v>
      </c>
      <c r="AR348" s="2" t="s">
        <v>7102</v>
      </c>
      <c r="AS348" s="16" t="s">
        <v>6699</v>
      </c>
      <c r="AT348" s="2" t="s">
        <v>6698</v>
      </c>
      <c r="AU348" s="2" t="s">
        <v>7483</v>
      </c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</row>
    <row r="349" spans="3:58" ht="17.25" customHeight="1">
      <c r="C349" s="1">
        <v>44005</v>
      </c>
      <c r="E349" s="2" t="s">
        <v>6476</v>
      </c>
      <c r="F349" s="15"/>
      <c r="G349" s="2" t="s">
        <v>6480</v>
      </c>
      <c r="H349" s="2" t="s">
        <v>6479</v>
      </c>
      <c r="I349" s="2"/>
      <c r="J349" s="2">
        <v>1</v>
      </c>
      <c r="K349" s="2"/>
      <c r="L349" s="3">
        <v>22.99</v>
      </c>
      <c r="M349" s="3">
        <v>2.29</v>
      </c>
      <c r="N349" s="3">
        <v>1.4</v>
      </c>
      <c r="O349" s="3">
        <v>2.0699999999999998</v>
      </c>
      <c r="P349" s="3">
        <f>2.07-2.07</f>
        <v>0</v>
      </c>
      <c r="Q349" s="6">
        <f t="shared" ref="Q349" si="777">+L349-M349-N349+P349</f>
        <v>19.3</v>
      </c>
      <c r="R349" s="3"/>
      <c r="S349" s="3">
        <v>13.85</v>
      </c>
      <c r="T349" s="3">
        <v>1.38</v>
      </c>
      <c r="U349" s="3"/>
      <c r="V349" s="3"/>
      <c r="W349" s="3">
        <v>1.48</v>
      </c>
      <c r="X349" s="2">
        <f t="shared" ref="X349" si="778">+S349+T349++U349+V349-W349</f>
        <v>13.75</v>
      </c>
      <c r="Y349" s="6">
        <f t="shared" ref="Y349" si="779">+Q349-X349</f>
        <v>5.5500000000000007</v>
      </c>
      <c r="Z349" s="2"/>
      <c r="AA349" s="2"/>
      <c r="AB349" s="2"/>
      <c r="AC349" s="3"/>
      <c r="AD349" s="2"/>
      <c r="AE349" s="2"/>
      <c r="AF349" s="2"/>
      <c r="AG349" s="2"/>
      <c r="AH349" s="2" t="s">
        <v>6478</v>
      </c>
      <c r="AI349" s="2" t="s">
        <v>6477</v>
      </c>
      <c r="AJ349" s="2"/>
      <c r="AK349" s="2"/>
      <c r="AL349" s="2" t="s">
        <v>6348</v>
      </c>
      <c r="AM349" s="2" t="s">
        <v>6589</v>
      </c>
      <c r="AN349" s="2"/>
      <c r="AO349" s="2" t="s">
        <v>6496</v>
      </c>
      <c r="AP349" s="2" t="s">
        <v>3252</v>
      </c>
      <c r="AQ349" s="2"/>
      <c r="AR349" s="16" t="s">
        <v>6440</v>
      </c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</row>
    <row r="350" spans="3:58" ht="17.25" customHeight="1">
      <c r="C350" s="1">
        <v>44005</v>
      </c>
      <c r="E350" s="2" t="s">
        <v>6309</v>
      </c>
      <c r="F350" s="15"/>
      <c r="G350" s="2" t="s">
        <v>6475</v>
      </c>
      <c r="H350" s="2" t="s">
        <v>6656</v>
      </c>
      <c r="I350" s="2"/>
      <c r="J350" s="2">
        <v>1</v>
      </c>
      <c r="K350" s="2"/>
      <c r="L350" s="3">
        <v>0</v>
      </c>
      <c r="M350" s="3">
        <v>0</v>
      </c>
      <c r="N350" s="3">
        <v>0</v>
      </c>
      <c r="O350" s="3"/>
      <c r="P350" s="3">
        <v>0</v>
      </c>
      <c r="Q350" s="6">
        <f t="shared" ref="Q350:Q351" si="780">+L350-M350-N350+P350</f>
        <v>0</v>
      </c>
      <c r="R350" s="3"/>
      <c r="S350" s="3">
        <v>0</v>
      </c>
      <c r="T350" s="3">
        <v>0</v>
      </c>
      <c r="U350" s="3"/>
      <c r="V350" s="3"/>
      <c r="W350" s="3">
        <v>0</v>
      </c>
      <c r="X350" s="2">
        <f t="shared" ref="X350:X351" si="781">+S350+T350++U350+V350-W350</f>
        <v>0</v>
      </c>
      <c r="Y350" s="6">
        <f t="shared" ref="Y350:Y351" si="782">+Q350-X350</f>
        <v>0</v>
      </c>
      <c r="Z350" s="2"/>
      <c r="AA350" s="2"/>
      <c r="AB350" s="2"/>
      <c r="AC350" s="3"/>
      <c r="AD350" s="2"/>
      <c r="AE350" s="2"/>
      <c r="AF350" s="2"/>
      <c r="AG350" s="2"/>
      <c r="AH350" s="2" t="s">
        <v>6474</v>
      </c>
      <c r="AI350" s="2" t="s">
        <v>6473</v>
      </c>
      <c r="AJ350" s="2"/>
      <c r="AK350" s="2"/>
      <c r="AL350" s="2"/>
      <c r="AM350" s="2"/>
      <c r="AN350" s="2"/>
      <c r="AO350" s="5" t="s">
        <v>6355</v>
      </c>
      <c r="AP350" s="5" t="s">
        <v>6355</v>
      </c>
      <c r="AQ350" s="5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</row>
    <row r="351" spans="3:58" ht="17.25" customHeight="1">
      <c r="C351" s="1">
        <v>44005</v>
      </c>
      <c r="E351" s="2" t="s">
        <v>6263</v>
      </c>
      <c r="F351" s="15"/>
      <c r="G351" s="2" t="s">
        <v>6475</v>
      </c>
      <c r="H351" s="2" t="s">
        <v>6656</v>
      </c>
      <c r="I351" s="2"/>
      <c r="J351" s="2">
        <v>1</v>
      </c>
      <c r="K351" s="2"/>
      <c r="L351" s="3">
        <v>0</v>
      </c>
      <c r="M351" s="3">
        <v>0</v>
      </c>
      <c r="N351" s="3">
        <v>0</v>
      </c>
      <c r="O351" s="3"/>
      <c r="P351" s="3">
        <v>0</v>
      </c>
      <c r="Q351" s="6">
        <f t="shared" si="780"/>
        <v>0</v>
      </c>
      <c r="R351" s="3"/>
      <c r="S351" s="3">
        <v>0</v>
      </c>
      <c r="T351" s="3">
        <v>0</v>
      </c>
      <c r="U351" s="3"/>
      <c r="V351" s="3"/>
      <c r="W351" s="3"/>
      <c r="X351" s="2">
        <f t="shared" si="781"/>
        <v>0</v>
      </c>
      <c r="Y351" s="6">
        <f t="shared" si="782"/>
        <v>0</v>
      </c>
      <c r="Z351" s="6">
        <f>SUM(Y345:Y351)</f>
        <v>35</v>
      </c>
      <c r="AA351" s="2"/>
      <c r="AB351" s="2"/>
      <c r="AC351" s="3"/>
      <c r="AD351" s="2"/>
      <c r="AE351" s="2"/>
      <c r="AF351" s="2"/>
      <c r="AG351" s="2"/>
      <c r="AH351" s="2" t="s">
        <v>6474</v>
      </c>
      <c r="AI351" s="2" t="s">
        <v>6473</v>
      </c>
      <c r="AJ351" s="2"/>
      <c r="AK351" s="2"/>
      <c r="AL351" s="2"/>
      <c r="AM351" s="2" t="s">
        <v>6441</v>
      </c>
      <c r="AN351" s="2"/>
      <c r="AO351" s="5" t="s">
        <v>6355</v>
      </c>
      <c r="AP351" s="5" t="s">
        <v>6355</v>
      </c>
      <c r="AQ351" s="5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</row>
    <row r="352" spans="3:58" ht="17.25" customHeight="1">
      <c r="C352" s="1">
        <v>44004</v>
      </c>
      <c r="E352" s="2" t="s">
        <v>2229</v>
      </c>
      <c r="F352" s="15"/>
      <c r="G352" s="2" t="s">
        <v>6454</v>
      </c>
      <c r="H352" s="2" t="s">
        <v>6453</v>
      </c>
      <c r="I352" s="2"/>
      <c r="J352" s="2">
        <v>1</v>
      </c>
      <c r="K352" s="2"/>
      <c r="L352" s="3">
        <v>61.5</v>
      </c>
      <c r="M352" s="3">
        <v>6.15</v>
      </c>
      <c r="N352" s="3">
        <v>3.19</v>
      </c>
      <c r="O352" s="3">
        <v>4.07</v>
      </c>
      <c r="P352" s="3">
        <f>4.07-4.07</f>
        <v>0</v>
      </c>
      <c r="Q352" s="6">
        <f t="shared" ref="Q352" si="783">+L352-M352-N352+P352</f>
        <v>52.160000000000004</v>
      </c>
      <c r="R352" s="3"/>
      <c r="S352" s="3">
        <v>40</v>
      </c>
      <c r="T352" s="3">
        <v>2.5</v>
      </c>
      <c r="U352" s="3">
        <v>5</v>
      </c>
      <c r="V352" s="3"/>
      <c r="W352" s="3"/>
      <c r="X352" s="2">
        <f t="shared" ref="X352" si="784">+S352+T352++U352+V352-W352</f>
        <v>47.5</v>
      </c>
      <c r="Y352" s="6">
        <f t="shared" ref="Y352" si="785">+Q352-X352</f>
        <v>4.6600000000000037</v>
      </c>
      <c r="Z352" s="2"/>
      <c r="AA352" s="2"/>
      <c r="AB352" s="2"/>
      <c r="AC352" s="3"/>
      <c r="AD352" s="2"/>
      <c r="AE352" s="2"/>
      <c r="AF352" s="2"/>
      <c r="AG352" s="2"/>
      <c r="AH352" s="2" t="s">
        <v>6456</v>
      </c>
      <c r="AI352" s="2" t="s">
        <v>6455</v>
      </c>
      <c r="AJ352" s="2"/>
      <c r="AK352" s="2"/>
      <c r="AL352" s="2" t="s">
        <v>6781</v>
      </c>
      <c r="AM352" s="2" t="s">
        <v>7143</v>
      </c>
      <c r="AN352" s="2"/>
      <c r="AO352" s="2" t="s">
        <v>6732</v>
      </c>
      <c r="AP352" s="2" t="s">
        <v>6731</v>
      </c>
      <c r="AQ352" s="16" t="s">
        <v>6935</v>
      </c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</row>
    <row r="353" spans="3:58" ht="17.25" customHeight="1">
      <c r="C353" s="1">
        <v>44004</v>
      </c>
      <c r="E353" s="2" t="s">
        <v>6375</v>
      </c>
      <c r="F353" s="15" t="s">
        <v>6441</v>
      </c>
      <c r="G353" s="2" t="s">
        <v>6450</v>
      </c>
      <c r="H353" s="2" t="s">
        <v>6449</v>
      </c>
      <c r="I353" s="2"/>
      <c r="J353" s="2">
        <v>1</v>
      </c>
      <c r="K353" s="2"/>
      <c r="L353" s="3">
        <v>63.95</v>
      </c>
      <c r="M353" s="3">
        <v>6.39</v>
      </c>
      <c r="N353" s="3">
        <v>3.33</v>
      </c>
      <c r="O353" s="3">
        <v>4.8</v>
      </c>
      <c r="P353" s="3">
        <f>4.8-4.8</f>
        <v>0</v>
      </c>
      <c r="Q353" s="6">
        <f t="shared" ref="Q353" si="786">+L353-M353-N353+P353</f>
        <v>54.230000000000004</v>
      </c>
      <c r="R353" s="3"/>
      <c r="S353" s="3">
        <v>44.99</v>
      </c>
      <c r="T353" s="3">
        <v>3.38</v>
      </c>
      <c r="U353" s="3"/>
      <c r="V353" s="3"/>
      <c r="W353" s="3"/>
      <c r="X353" s="2">
        <f t="shared" ref="X353" si="787">+S353+T353++U353+V353-W353</f>
        <v>48.370000000000005</v>
      </c>
      <c r="Y353" s="6">
        <f t="shared" ref="Y353" si="788">+Q353-X353</f>
        <v>5.8599999999999994</v>
      </c>
      <c r="Z353" s="2"/>
      <c r="AA353" s="2"/>
      <c r="AB353" s="2"/>
      <c r="AC353" s="3"/>
      <c r="AD353" s="2"/>
      <c r="AE353" s="2"/>
      <c r="AF353" s="2"/>
      <c r="AG353" s="2"/>
      <c r="AH353" s="2" t="s">
        <v>6452</v>
      </c>
      <c r="AI353" s="2" t="s">
        <v>6451</v>
      </c>
      <c r="AJ353" s="2"/>
      <c r="AK353" s="2"/>
      <c r="AL353" s="2" t="s">
        <v>6374</v>
      </c>
      <c r="AM353" s="16" t="s">
        <v>6526</v>
      </c>
      <c r="AN353" s="2"/>
      <c r="AO353" s="2" t="s">
        <v>6512</v>
      </c>
      <c r="AP353" s="2" t="s">
        <v>6491</v>
      </c>
      <c r="AQ353" s="2"/>
      <c r="AR353" s="16" t="s">
        <v>6513</v>
      </c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</row>
    <row r="354" spans="3:58" ht="17.25" customHeight="1">
      <c r="C354" s="1">
        <v>44004</v>
      </c>
      <c r="E354" s="2" t="s">
        <v>6263</v>
      </c>
      <c r="F354" s="15"/>
      <c r="G354" s="2" t="s">
        <v>6448</v>
      </c>
      <c r="H354" s="2" t="s">
        <v>7100</v>
      </c>
      <c r="I354" s="2"/>
      <c r="J354" s="2">
        <v>1</v>
      </c>
      <c r="K354" s="2"/>
      <c r="L354" s="3">
        <v>27.95</v>
      </c>
      <c r="M354" s="3">
        <v>2.79</v>
      </c>
      <c r="N354" s="3">
        <v>1.62</v>
      </c>
      <c r="O354" s="3">
        <v>1.96</v>
      </c>
      <c r="P354" s="3">
        <f>1.96-1.96</f>
        <v>0</v>
      </c>
      <c r="Q354" s="6">
        <f t="shared" ref="Q354" si="789">+L354-M354-N354+P354</f>
        <v>23.54</v>
      </c>
      <c r="R354" s="3"/>
      <c r="S354" s="3">
        <v>15.21</v>
      </c>
      <c r="T354" s="3">
        <v>1.07</v>
      </c>
      <c r="U354" s="3"/>
      <c r="V354" s="3"/>
      <c r="W354" s="3"/>
      <c r="X354" s="2">
        <f t="shared" ref="X354" si="790">+S354+T354++U354+V354-W354</f>
        <v>16.28</v>
      </c>
      <c r="Y354" s="6">
        <f t="shared" ref="Y354" si="791">+Q354-X354</f>
        <v>7.259999999999998</v>
      </c>
      <c r="Z354" s="2"/>
      <c r="AA354" s="2"/>
      <c r="AB354" s="2"/>
      <c r="AC354" s="3"/>
      <c r="AD354" s="2"/>
      <c r="AE354" s="2"/>
      <c r="AF354" s="2"/>
      <c r="AG354" s="2"/>
      <c r="AH354" s="2" t="s">
        <v>6447</v>
      </c>
      <c r="AI354" s="2" t="s">
        <v>6446</v>
      </c>
      <c r="AJ354" s="2"/>
      <c r="AK354" s="2"/>
      <c r="AL354" s="2" t="s">
        <v>6781</v>
      </c>
      <c r="AM354" s="2" t="s">
        <v>7099</v>
      </c>
      <c r="AN354" s="2"/>
      <c r="AO354" s="16" t="s">
        <v>7098</v>
      </c>
      <c r="AP354" s="2" t="s">
        <v>6553</v>
      </c>
      <c r="AQ354" s="2"/>
      <c r="AR354" s="16" t="s">
        <v>7063</v>
      </c>
      <c r="AS354" s="2"/>
      <c r="AT354" s="16" t="s">
        <v>6697</v>
      </c>
      <c r="AU354" s="2" t="s">
        <v>6698</v>
      </c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</row>
    <row r="355" spans="3:58" ht="17.25" customHeight="1">
      <c r="C355" s="1">
        <v>44004</v>
      </c>
      <c r="E355" s="2" t="s">
        <v>6263</v>
      </c>
      <c r="F355" s="15"/>
      <c r="G355" s="2" t="s">
        <v>6443</v>
      </c>
      <c r="H355" s="2" t="s">
        <v>6442</v>
      </c>
      <c r="I355" s="2"/>
      <c r="J355" s="2">
        <v>1</v>
      </c>
      <c r="K355" s="2"/>
      <c r="L355" s="3">
        <v>27.95</v>
      </c>
      <c r="M355" s="3">
        <v>2.79</v>
      </c>
      <c r="N355" s="3">
        <v>1.63</v>
      </c>
      <c r="O355" s="3">
        <v>1.75</v>
      </c>
      <c r="P355" s="3">
        <f>1.75-1.75</f>
        <v>0</v>
      </c>
      <c r="Q355" s="6">
        <f t="shared" ref="Q355" si="792">+L355-M355-N355+P355</f>
        <v>23.53</v>
      </c>
      <c r="R355" s="3"/>
      <c r="S355" s="3">
        <v>15.21</v>
      </c>
      <c r="T355" s="3">
        <v>1.25</v>
      </c>
      <c r="U355" s="3"/>
      <c r="V355" s="3"/>
      <c r="W355" s="3"/>
      <c r="X355" s="2">
        <f t="shared" ref="X355" si="793">+S355+T355++U355+V355-W355</f>
        <v>16.46</v>
      </c>
      <c r="Y355" s="6">
        <f t="shared" ref="Y355" si="794">+Q355-X355</f>
        <v>7.07</v>
      </c>
      <c r="Z355" s="2"/>
      <c r="AA355" s="2"/>
      <c r="AB355" s="2"/>
      <c r="AC355" s="3"/>
      <c r="AD355" s="2"/>
      <c r="AE355" s="2"/>
      <c r="AF355" s="2"/>
      <c r="AG355" s="2"/>
      <c r="AH355" s="2" t="s">
        <v>6445</v>
      </c>
      <c r="AI355" s="2" t="s">
        <v>6444</v>
      </c>
      <c r="AJ355" s="2"/>
      <c r="AK355" s="2"/>
      <c r="AL355" s="2" t="s">
        <v>2926</v>
      </c>
      <c r="AM355" s="16" t="s">
        <v>7190</v>
      </c>
      <c r="AN355" s="2"/>
      <c r="AO355" s="16" t="s">
        <v>6550</v>
      </c>
      <c r="AP355" s="2" t="s">
        <v>6551</v>
      </c>
      <c r="AQ355" s="2" t="s">
        <v>6418</v>
      </c>
      <c r="AR355" s="16" t="s">
        <v>7191</v>
      </c>
      <c r="AS355" s="2" t="s">
        <v>16</v>
      </c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</row>
    <row r="356" spans="3:58" ht="17.25" customHeight="1">
      <c r="C356" s="1">
        <v>44004</v>
      </c>
      <c r="E356" s="2" t="s">
        <v>6309</v>
      </c>
      <c r="F356" s="15"/>
      <c r="G356" s="2" t="s">
        <v>6431</v>
      </c>
      <c r="H356" s="2" t="s">
        <v>6430</v>
      </c>
      <c r="I356" s="2"/>
      <c r="J356" s="2">
        <v>1</v>
      </c>
      <c r="K356" s="2"/>
      <c r="L356" s="3">
        <v>19.5</v>
      </c>
      <c r="M356" s="3">
        <v>1.95</v>
      </c>
      <c r="N356" s="3">
        <v>1.1599999999999999</v>
      </c>
      <c r="O356" s="3"/>
      <c r="P356" s="3"/>
      <c r="Q356" s="6">
        <f t="shared" ref="Q356" si="795">+L356-M356-N356+P356</f>
        <v>16.39</v>
      </c>
      <c r="R356" s="3"/>
      <c r="S356" s="3">
        <v>9.99</v>
      </c>
      <c r="T356" s="3">
        <v>0</v>
      </c>
      <c r="U356" s="3"/>
      <c r="V356" s="3"/>
      <c r="W356" s="3">
        <v>0</v>
      </c>
      <c r="X356" s="2">
        <f t="shared" ref="X356" si="796">+S356+T356++U356+V356-W356</f>
        <v>9.99</v>
      </c>
      <c r="Y356" s="6">
        <f t="shared" ref="Y356" si="797">+Q356-X356</f>
        <v>6.4</v>
      </c>
      <c r="Z356" s="6">
        <f>SUM(Y352:Y356)</f>
        <v>31.25</v>
      </c>
      <c r="AA356" s="2"/>
      <c r="AB356" s="2"/>
      <c r="AC356" s="3"/>
      <c r="AD356" s="2"/>
      <c r="AE356" s="2"/>
      <c r="AF356" s="2"/>
      <c r="AG356" s="2"/>
      <c r="AH356" s="2" t="s">
        <v>6433</v>
      </c>
      <c r="AI356" s="2" t="s">
        <v>6432</v>
      </c>
      <c r="AJ356" s="2"/>
      <c r="AK356" s="2"/>
      <c r="AL356" s="2" t="s">
        <v>2926</v>
      </c>
      <c r="AM356" s="16" t="s">
        <v>7185</v>
      </c>
      <c r="AN356" s="2"/>
      <c r="AO356" s="2" t="s">
        <v>6434</v>
      </c>
      <c r="AP356" s="2" t="s">
        <v>591</v>
      </c>
      <c r="AQ356" s="2" t="s">
        <v>7186</v>
      </c>
      <c r="AR356" s="19" t="s">
        <v>7156</v>
      </c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</row>
    <row r="357" spans="3:58" ht="17.25" customHeight="1">
      <c r="C357" s="1">
        <v>44003</v>
      </c>
      <c r="E357" s="2" t="s">
        <v>6263</v>
      </c>
      <c r="F357" s="15"/>
      <c r="G357" s="2" t="s">
        <v>6411</v>
      </c>
      <c r="H357" s="2" t="s">
        <v>6410</v>
      </c>
      <c r="I357" s="2"/>
      <c r="J357" s="2">
        <v>1</v>
      </c>
      <c r="K357" s="2"/>
      <c r="L357" s="3">
        <v>27.95</v>
      </c>
      <c r="M357" s="3">
        <v>2.79</v>
      </c>
      <c r="N357" s="3">
        <v>1.61</v>
      </c>
      <c r="O357" s="3">
        <v>1.75</v>
      </c>
      <c r="P357" s="3">
        <f>1.75-1.75</f>
        <v>0</v>
      </c>
      <c r="Q357" s="6">
        <f t="shared" ref="Q357:Q359" si="798">+L357-M357-N357+P357</f>
        <v>23.55</v>
      </c>
      <c r="R357" s="3"/>
      <c r="S357" s="3">
        <v>15.21</v>
      </c>
      <c r="T357" s="3">
        <v>0.95</v>
      </c>
      <c r="U357" s="3"/>
      <c r="V357" s="3"/>
      <c r="W357" s="3"/>
      <c r="X357" s="2">
        <f t="shared" ref="X357:X359" si="799">+S357+T357++U357+V357-W357</f>
        <v>16.16</v>
      </c>
      <c r="Y357" s="6">
        <f t="shared" ref="Y357:Y359" si="800">+Q357-X357</f>
        <v>7.3900000000000006</v>
      </c>
      <c r="Z357" s="2"/>
      <c r="AA357" s="2"/>
      <c r="AB357" s="2"/>
      <c r="AC357" s="3"/>
      <c r="AD357" s="2"/>
      <c r="AE357" s="2"/>
      <c r="AF357" s="2"/>
      <c r="AG357" s="2"/>
      <c r="AH357" s="2" t="s">
        <v>6413</v>
      </c>
      <c r="AI357" s="2" t="s">
        <v>6412</v>
      </c>
      <c r="AJ357" s="2"/>
      <c r="AK357" s="2"/>
      <c r="AL357" s="2" t="s">
        <v>6348</v>
      </c>
      <c r="AM357" s="2" t="s">
        <v>6609</v>
      </c>
      <c r="AN357" s="2"/>
      <c r="AO357" s="16" t="s">
        <v>6552</v>
      </c>
      <c r="AP357" s="2" t="s">
        <v>6553</v>
      </c>
      <c r="AQ357" s="2" t="s">
        <v>6418</v>
      </c>
      <c r="AR357" s="16" t="s">
        <v>6610</v>
      </c>
      <c r="AS357" s="2" t="s">
        <v>16</v>
      </c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</row>
    <row r="358" spans="3:58" ht="17.25" customHeight="1">
      <c r="C358" s="1">
        <v>44003</v>
      </c>
      <c r="E358" s="2" t="s">
        <v>61</v>
      </c>
      <c r="F358" s="15"/>
      <c r="G358" s="2" t="s">
        <v>6415</v>
      </c>
      <c r="H358" s="2" t="s">
        <v>6414</v>
      </c>
      <c r="I358" s="2"/>
      <c r="J358" s="2">
        <v>1</v>
      </c>
      <c r="K358" s="2"/>
      <c r="L358" s="3">
        <v>41.7</v>
      </c>
      <c r="M358" s="3">
        <v>4.17</v>
      </c>
      <c r="N358" s="3">
        <v>2.29</v>
      </c>
      <c r="O358" s="3">
        <v>3.54</v>
      </c>
      <c r="P358" s="3">
        <f>3.54-3.54</f>
        <v>0</v>
      </c>
      <c r="Q358" s="6">
        <f t="shared" si="798"/>
        <v>35.24</v>
      </c>
      <c r="R358" s="3"/>
      <c r="S358" s="3">
        <v>25.98</v>
      </c>
      <c r="T358" s="3">
        <v>2.64</v>
      </c>
      <c r="U358" s="3">
        <v>5</v>
      </c>
      <c r="V358" s="3"/>
      <c r="W358" s="3"/>
      <c r="X358" s="2">
        <f t="shared" si="799"/>
        <v>33.620000000000005</v>
      </c>
      <c r="Y358" s="6">
        <f t="shared" si="800"/>
        <v>1.6199999999999974</v>
      </c>
      <c r="Z358" s="2"/>
      <c r="AA358" s="2"/>
      <c r="AB358" s="2"/>
      <c r="AC358" s="3"/>
      <c r="AD358" s="2"/>
      <c r="AE358" s="2"/>
      <c r="AF358" s="2"/>
      <c r="AG358" s="2"/>
      <c r="AH358" s="2" t="s">
        <v>6417</v>
      </c>
      <c r="AI358" s="2" t="s">
        <v>6416</v>
      </c>
      <c r="AJ358" s="2"/>
      <c r="AK358" s="2"/>
      <c r="AL358" s="2" t="s">
        <v>16</v>
      </c>
      <c r="AM358" s="2" t="s">
        <v>6707</v>
      </c>
      <c r="AN358" s="2"/>
      <c r="AO358" s="2" t="s">
        <v>6549</v>
      </c>
      <c r="AP358" s="2" t="s">
        <v>2128</v>
      </c>
      <c r="AQ358" s="2" t="s">
        <v>61</v>
      </c>
      <c r="AR358" s="2" t="s">
        <v>6707</v>
      </c>
      <c r="AS358" s="5" t="s">
        <v>7065</v>
      </c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</row>
    <row r="359" spans="3:58" ht="17.25" customHeight="1">
      <c r="C359" s="1">
        <v>44003</v>
      </c>
      <c r="E359" s="2" t="s">
        <v>4038</v>
      </c>
      <c r="F359" s="15"/>
      <c r="G359" s="2" t="s">
        <v>6421</v>
      </c>
      <c r="H359" s="2" t="s">
        <v>6420</v>
      </c>
      <c r="I359" s="2"/>
      <c r="J359" s="2">
        <v>1</v>
      </c>
      <c r="K359" s="2"/>
      <c r="L359" s="3">
        <v>32.75</v>
      </c>
      <c r="M359" s="3">
        <v>3.27</v>
      </c>
      <c r="N359" s="3">
        <v>1.86</v>
      </c>
      <c r="O359" s="3">
        <v>2.62</v>
      </c>
      <c r="P359" s="3">
        <f>2.62-2.62</f>
        <v>0</v>
      </c>
      <c r="Q359" s="6">
        <f t="shared" si="798"/>
        <v>27.62</v>
      </c>
      <c r="R359" s="3"/>
      <c r="S359" s="3">
        <v>16.95</v>
      </c>
      <c r="T359" s="3">
        <v>1.75</v>
      </c>
      <c r="U359" s="3">
        <v>5</v>
      </c>
      <c r="V359" s="3"/>
      <c r="W359" s="3">
        <v>0</v>
      </c>
      <c r="X359" s="2">
        <f t="shared" si="799"/>
        <v>23.7</v>
      </c>
      <c r="Y359" s="6">
        <f t="shared" si="800"/>
        <v>3.9200000000000017</v>
      </c>
      <c r="Z359" s="2"/>
      <c r="AA359" s="2"/>
      <c r="AB359" s="2"/>
      <c r="AC359" s="3"/>
      <c r="AD359" s="2"/>
      <c r="AE359" s="2"/>
      <c r="AF359" s="2"/>
      <c r="AG359" s="2"/>
      <c r="AH359" s="2" t="s">
        <v>6423</v>
      </c>
      <c r="AI359" s="2" t="s">
        <v>6422</v>
      </c>
      <c r="AJ359" s="2"/>
      <c r="AK359" s="2"/>
      <c r="AL359" s="2" t="s">
        <v>6781</v>
      </c>
      <c r="AM359" s="16" t="s">
        <v>6780</v>
      </c>
      <c r="AN359" s="2"/>
      <c r="AO359" s="2" t="s">
        <v>6545</v>
      </c>
      <c r="AP359" s="2" t="s">
        <v>6356</v>
      </c>
      <c r="AQ359" s="2"/>
      <c r="AR359" s="16" t="s">
        <v>6782</v>
      </c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</row>
    <row r="360" spans="3:58" ht="17.25" customHeight="1">
      <c r="C360" s="1">
        <v>44003</v>
      </c>
      <c r="E360" s="2" t="s">
        <v>6375</v>
      </c>
      <c r="F360" s="15"/>
      <c r="G360" s="2" t="s">
        <v>6405</v>
      </c>
      <c r="H360" s="2" t="s">
        <v>6404</v>
      </c>
      <c r="I360" s="2"/>
      <c r="J360" s="2">
        <v>1</v>
      </c>
      <c r="K360" s="2"/>
      <c r="L360" s="3">
        <v>62.65</v>
      </c>
      <c r="M360" s="3">
        <v>6.26</v>
      </c>
      <c r="N360" s="3">
        <v>3.25</v>
      </c>
      <c r="O360" s="3"/>
      <c r="P360" s="3">
        <v>4.3899999999999997</v>
      </c>
      <c r="Q360" s="6">
        <f t="shared" ref="Q360:Q361" si="801">+L360-M360-N360+P360</f>
        <v>57.53</v>
      </c>
      <c r="R360" s="3"/>
      <c r="S360" s="3">
        <v>44.99</v>
      </c>
      <c r="T360" s="3">
        <v>3.15</v>
      </c>
      <c r="U360" s="3"/>
      <c r="V360" s="3"/>
      <c r="W360" s="3"/>
      <c r="X360" s="2">
        <f t="shared" ref="X360" si="802">+S360+T360++U360+V360-W360</f>
        <v>48.14</v>
      </c>
      <c r="Y360" s="6">
        <f t="shared" ref="Y360" si="803">+Q360-X360</f>
        <v>9.39</v>
      </c>
      <c r="Z360" s="6">
        <f>SUM(Y357:Y360)</f>
        <v>22.32</v>
      </c>
      <c r="AA360" s="2"/>
      <c r="AB360" s="2"/>
      <c r="AC360" s="3"/>
      <c r="AD360" s="2"/>
      <c r="AE360" s="2"/>
      <c r="AF360" s="2"/>
      <c r="AG360" s="2"/>
      <c r="AH360" s="2" t="s">
        <v>6407</v>
      </c>
      <c r="AI360" s="2" t="s">
        <v>6406</v>
      </c>
      <c r="AJ360" s="2"/>
      <c r="AK360" s="2"/>
      <c r="AL360" s="2" t="s">
        <v>6504</v>
      </c>
      <c r="AM360" s="16" t="s">
        <v>6503</v>
      </c>
      <c r="AN360" s="2"/>
      <c r="AO360" s="2" t="s">
        <v>6489</v>
      </c>
      <c r="AP360" s="2" t="s">
        <v>6491</v>
      </c>
      <c r="AQ360" s="2"/>
      <c r="AR360" s="16" t="s">
        <v>6490</v>
      </c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</row>
    <row r="361" spans="3:58" ht="17.25" customHeight="1">
      <c r="C361" s="1">
        <v>44002</v>
      </c>
      <c r="E361" s="2" t="s">
        <v>6384</v>
      </c>
      <c r="F361" s="15"/>
      <c r="G361" s="2" t="s">
        <v>6400</v>
      </c>
      <c r="H361" s="2" t="s">
        <v>6399</v>
      </c>
      <c r="I361" s="2"/>
      <c r="J361" s="2">
        <v>1</v>
      </c>
      <c r="K361" s="2"/>
      <c r="L361" s="3">
        <v>22.99</v>
      </c>
      <c r="M361" s="3">
        <v>2.29</v>
      </c>
      <c r="N361" s="3">
        <v>1.31</v>
      </c>
      <c r="O361" s="3">
        <v>1.38</v>
      </c>
      <c r="P361" s="3">
        <f>1.38-1.38</f>
        <v>0</v>
      </c>
      <c r="Q361" s="6">
        <f t="shared" si="801"/>
        <v>19.39</v>
      </c>
      <c r="R361" s="3"/>
      <c r="S361" s="3">
        <v>12.3</v>
      </c>
      <c r="T361" s="3">
        <v>0.74</v>
      </c>
      <c r="U361" s="3"/>
      <c r="V361" s="3"/>
      <c r="W361" s="3">
        <v>1.23</v>
      </c>
      <c r="X361" s="2">
        <f t="shared" ref="X361" si="804">+S361+T361++U361+V361-W361</f>
        <v>11.81</v>
      </c>
      <c r="Y361" s="6">
        <f t="shared" ref="Y361" si="805">+Q361-X361</f>
        <v>7.58</v>
      </c>
      <c r="Z361" s="2"/>
      <c r="AA361" s="2"/>
      <c r="AB361" s="2"/>
      <c r="AC361" s="3"/>
      <c r="AD361" s="2"/>
      <c r="AE361" s="2"/>
      <c r="AF361" s="2"/>
      <c r="AG361" s="2"/>
      <c r="AH361" s="2" t="s">
        <v>6402</v>
      </c>
      <c r="AI361" s="2" t="s">
        <v>6401</v>
      </c>
      <c r="AJ361" s="2"/>
      <c r="AK361" s="2"/>
      <c r="AL361" s="2" t="s">
        <v>6348</v>
      </c>
      <c r="AM361" s="16" t="s">
        <v>6587</v>
      </c>
      <c r="AN361" s="2"/>
      <c r="AO361" s="2" t="s">
        <v>6470</v>
      </c>
      <c r="AP361" s="2" t="s">
        <v>6469</v>
      </c>
      <c r="AQ361" s="2"/>
      <c r="AR361" s="16" t="s">
        <v>6471</v>
      </c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</row>
    <row r="362" spans="3:58" ht="17.25" customHeight="1">
      <c r="C362" s="1">
        <v>44002</v>
      </c>
      <c r="E362" s="2" t="s">
        <v>6384</v>
      </c>
      <c r="F362" s="15"/>
      <c r="G362" s="2" t="s">
        <v>6396</v>
      </c>
      <c r="H362" s="2" t="s">
        <v>6395</v>
      </c>
      <c r="I362" s="2"/>
      <c r="J362" s="2">
        <v>1</v>
      </c>
      <c r="K362" s="2"/>
      <c r="L362" s="3">
        <v>22.99</v>
      </c>
      <c r="M362" s="3">
        <v>2.29</v>
      </c>
      <c r="N362" s="3">
        <v>1.31</v>
      </c>
      <c r="O362" s="3">
        <v>2.13</v>
      </c>
      <c r="P362" s="3">
        <f>2.13-2.13</f>
        <v>0</v>
      </c>
      <c r="Q362" s="6">
        <f t="shared" ref="Q362" si="806">+L362-M362-N362+P362</f>
        <v>19.39</v>
      </c>
      <c r="R362" s="3"/>
      <c r="S362" s="3">
        <v>14.85</v>
      </c>
      <c r="T362" s="3">
        <v>0.76</v>
      </c>
      <c r="U362" s="3"/>
      <c r="V362" s="3"/>
      <c r="W362" s="3">
        <v>1.48</v>
      </c>
      <c r="X362" s="2">
        <f t="shared" ref="X362" si="807">+S362+T362++U362+V362-W362</f>
        <v>14.129999999999999</v>
      </c>
      <c r="Y362" s="6">
        <f t="shared" ref="Y362" si="808">+Q362-X362</f>
        <v>5.2600000000000016</v>
      </c>
      <c r="Z362" s="2"/>
      <c r="AA362" s="2"/>
      <c r="AB362" s="2"/>
      <c r="AC362" s="3"/>
      <c r="AD362" s="2"/>
      <c r="AE362" s="2"/>
      <c r="AF362" s="2"/>
      <c r="AG362" s="2"/>
      <c r="AH362" s="2" t="s">
        <v>6398</v>
      </c>
      <c r="AI362" s="2" t="s">
        <v>6397</v>
      </c>
      <c r="AJ362" s="2"/>
      <c r="AK362" s="2"/>
      <c r="AL362" s="2" t="s">
        <v>6425</v>
      </c>
      <c r="AM362" s="16" t="s">
        <v>6659</v>
      </c>
      <c r="AN362" s="2"/>
      <c r="AO362" s="2" t="s">
        <v>6467</v>
      </c>
      <c r="AP362" s="2" t="s">
        <v>6469</v>
      </c>
      <c r="AQ362" s="2"/>
      <c r="AR362" s="16" t="s">
        <v>6468</v>
      </c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</row>
    <row r="363" spans="3:58" ht="17.25" customHeight="1">
      <c r="C363" s="1">
        <v>44002</v>
      </c>
      <c r="E363" s="2" t="s">
        <v>6383</v>
      </c>
      <c r="F363" s="15"/>
      <c r="G363" s="2" t="s">
        <v>6392</v>
      </c>
      <c r="H363" s="2" t="s">
        <v>6391</v>
      </c>
      <c r="I363" s="2"/>
      <c r="J363" s="2">
        <v>1</v>
      </c>
      <c r="K363" s="2"/>
      <c r="L363" s="3">
        <v>84.5</v>
      </c>
      <c r="M363" s="3">
        <v>8.4499999999999993</v>
      </c>
      <c r="N363" s="3">
        <v>4.3099999999999996</v>
      </c>
      <c r="O363" s="3">
        <v>6.55</v>
      </c>
      <c r="P363" s="3">
        <f>6.55-6.55</f>
        <v>0</v>
      </c>
      <c r="Q363" s="6">
        <f t="shared" ref="Q363" si="809">+L363-M363-N363+P363</f>
        <v>71.739999999999995</v>
      </c>
      <c r="R363" s="3"/>
      <c r="S363" s="3">
        <v>65.19</v>
      </c>
      <c r="T363" s="3">
        <v>5.05</v>
      </c>
      <c r="U363" s="3"/>
      <c r="V363" s="3"/>
      <c r="W363" s="3">
        <f>6.51</f>
        <v>6.51</v>
      </c>
      <c r="X363" s="2">
        <f t="shared" ref="X363" si="810">+S363+T363++U363+V363-W363</f>
        <v>63.73</v>
      </c>
      <c r="Y363" s="6">
        <f t="shared" ref="Y363" si="811">+Q363-X363</f>
        <v>8.009999999999998</v>
      </c>
      <c r="Z363" s="2"/>
      <c r="AA363" s="2"/>
      <c r="AB363" s="2"/>
      <c r="AC363" s="3"/>
      <c r="AD363" s="2"/>
      <c r="AE363" s="2"/>
      <c r="AF363" s="2"/>
      <c r="AG363" s="2"/>
      <c r="AH363" s="2" t="s">
        <v>6394</v>
      </c>
      <c r="AI363" s="2" t="s">
        <v>6393</v>
      </c>
      <c r="AJ363" s="2"/>
      <c r="AK363" s="2"/>
      <c r="AL363" s="2" t="s">
        <v>3071</v>
      </c>
      <c r="AM363" s="16" t="s">
        <v>6750</v>
      </c>
      <c r="AN363" s="2"/>
      <c r="AO363" s="2" t="s">
        <v>6746</v>
      </c>
      <c r="AP363" s="2" t="s">
        <v>6562</v>
      </c>
      <c r="AQ363" s="2"/>
      <c r="AR363" s="16" t="s">
        <v>6747</v>
      </c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</row>
    <row r="364" spans="3:58" ht="17.25" customHeight="1">
      <c r="C364" s="1">
        <v>44002</v>
      </c>
      <c r="E364" s="2" t="s">
        <v>6375</v>
      </c>
      <c r="F364" s="15"/>
      <c r="G364" s="2" t="s">
        <v>6376</v>
      </c>
      <c r="H364" s="2" t="s">
        <v>6385</v>
      </c>
      <c r="I364" s="2"/>
      <c r="J364" s="2">
        <v>1</v>
      </c>
      <c r="K364" s="2"/>
      <c r="L364" s="3">
        <v>0</v>
      </c>
      <c r="M364" s="3">
        <v>0</v>
      </c>
      <c r="N364" s="3">
        <v>0</v>
      </c>
      <c r="O364" s="3"/>
      <c r="P364" s="3">
        <f>4.8-4.8</f>
        <v>0</v>
      </c>
      <c r="Q364" s="6">
        <f t="shared" ref="Q364:Q365" si="812">+L364-M364-N364+P364</f>
        <v>0</v>
      </c>
      <c r="R364" s="3"/>
      <c r="S364" s="3">
        <v>0</v>
      </c>
      <c r="T364" s="3">
        <v>0</v>
      </c>
      <c r="U364" s="3"/>
      <c r="V364" s="3"/>
      <c r="W364" s="3"/>
      <c r="X364" s="2">
        <f t="shared" ref="X364:X365" si="813">+S364+T364++U364+V364-W364</f>
        <v>0</v>
      </c>
      <c r="Y364" s="6">
        <f t="shared" ref="Y364:Y366" si="814">+Q364-X364</f>
        <v>0</v>
      </c>
      <c r="Z364" s="2"/>
      <c r="AA364" s="2"/>
      <c r="AB364" s="2"/>
      <c r="AC364" s="3"/>
      <c r="AD364" s="2"/>
      <c r="AE364" s="2"/>
      <c r="AF364" s="2"/>
      <c r="AG364" s="2"/>
      <c r="AH364" s="2" t="s">
        <v>6378</v>
      </c>
      <c r="AI364" s="2" t="s">
        <v>6377</v>
      </c>
      <c r="AJ364" s="2"/>
      <c r="AK364" s="2"/>
      <c r="AL364" s="2"/>
      <c r="AM364" s="2"/>
      <c r="AN364" s="2"/>
      <c r="AO364" s="5" t="s">
        <v>6355</v>
      </c>
      <c r="AP364" s="5" t="s">
        <v>6355</v>
      </c>
      <c r="AQ364" s="5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</row>
    <row r="365" spans="3:58" ht="17.25" customHeight="1">
      <c r="C365" s="1">
        <v>44002</v>
      </c>
      <c r="E365" s="2" t="s">
        <v>6379</v>
      </c>
      <c r="F365" s="15"/>
      <c r="G365" s="2" t="s">
        <v>6390</v>
      </c>
      <c r="H365" s="2" t="s">
        <v>6389</v>
      </c>
      <c r="I365" s="2"/>
      <c r="J365" s="2">
        <v>1</v>
      </c>
      <c r="K365" s="2"/>
      <c r="L365" s="3">
        <v>84.5</v>
      </c>
      <c r="M365" s="3">
        <v>8.4499999999999993</v>
      </c>
      <c r="N365" s="3">
        <v>4.34</v>
      </c>
      <c r="O365" s="3">
        <v>0</v>
      </c>
      <c r="P365" s="3">
        <v>7.27</v>
      </c>
      <c r="Q365" s="6">
        <f t="shared" si="812"/>
        <v>78.97999999999999</v>
      </c>
      <c r="R365" s="3"/>
      <c r="S365" s="3">
        <v>65.19</v>
      </c>
      <c r="T365" s="3">
        <v>5.61</v>
      </c>
      <c r="U365" s="3"/>
      <c r="V365" s="3"/>
      <c r="W365" s="33">
        <f>6.51</f>
        <v>6.51</v>
      </c>
      <c r="X365" s="2">
        <f t="shared" si="813"/>
        <v>64.289999999999992</v>
      </c>
      <c r="Y365" s="6">
        <f t="shared" si="814"/>
        <v>14.689999999999998</v>
      </c>
      <c r="Z365" s="2"/>
      <c r="AA365" s="2"/>
      <c r="AB365" s="2"/>
      <c r="AC365" s="3"/>
      <c r="AD365" s="2"/>
      <c r="AE365" s="2"/>
      <c r="AF365" s="2"/>
      <c r="AG365" s="2"/>
      <c r="AH365" s="2" t="s">
        <v>6661</v>
      </c>
      <c r="AI365" s="2" t="s">
        <v>6660</v>
      </c>
      <c r="AJ365" s="2"/>
      <c r="AK365" s="2"/>
      <c r="AL365" s="2" t="s">
        <v>3071</v>
      </c>
      <c r="AM365" s="16" t="s">
        <v>7061</v>
      </c>
      <c r="AN365" s="2"/>
      <c r="AO365" s="2" t="s">
        <v>6654</v>
      </c>
      <c r="AP365" s="2" t="s">
        <v>6563</v>
      </c>
      <c r="AQ365" s="2"/>
      <c r="AR365" s="16" t="s">
        <v>6577</v>
      </c>
      <c r="AS365" s="2"/>
      <c r="AT365" s="16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</row>
    <row r="366" spans="3:58" ht="17.25" customHeight="1">
      <c r="C366" s="1">
        <v>44002</v>
      </c>
      <c r="E366" s="2" t="s">
        <v>5754</v>
      </c>
      <c r="F366" s="15"/>
      <c r="G366" s="2" t="s">
        <v>6364</v>
      </c>
      <c r="H366" s="2" t="s">
        <v>6363</v>
      </c>
      <c r="I366" s="2"/>
      <c r="J366" s="2">
        <v>1</v>
      </c>
      <c r="K366" s="2"/>
      <c r="L366" s="3">
        <v>62.95</v>
      </c>
      <c r="M366" s="3">
        <v>6.29</v>
      </c>
      <c r="N366" s="3">
        <v>3.33</v>
      </c>
      <c r="O366" s="3">
        <v>5.98</v>
      </c>
      <c r="P366" s="3">
        <f>5.98-5.98</f>
        <v>0</v>
      </c>
      <c r="Q366" s="6">
        <f t="shared" ref="Q366" si="815">+L366-M366-N366+P366</f>
        <v>53.330000000000005</v>
      </c>
      <c r="R366" s="3"/>
      <c r="S366" s="3">
        <v>41.26</v>
      </c>
      <c r="T366" s="3">
        <v>3.95</v>
      </c>
      <c r="U366" s="3"/>
      <c r="V366" s="3"/>
      <c r="W366" s="3"/>
      <c r="X366" s="2">
        <f t="shared" ref="X366" si="816">+S366+T366++U366+V366-W366</f>
        <v>45.21</v>
      </c>
      <c r="Y366" s="6">
        <f t="shared" si="814"/>
        <v>8.1200000000000045</v>
      </c>
      <c r="Z366" s="2"/>
      <c r="AA366" s="2"/>
      <c r="AB366" s="2"/>
      <c r="AC366" s="3"/>
      <c r="AD366" s="2"/>
      <c r="AE366" s="2"/>
      <c r="AF366" s="2"/>
      <c r="AG366" s="2"/>
      <c r="AH366" s="2" t="s">
        <v>6366</v>
      </c>
      <c r="AI366" s="2" t="s">
        <v>6365</v>
      </c>
      <c r="AJ366" s="2"/>
      <c r="AK366" s="2"/>
      <c r="AL366" s="2" t="s">
        <v>6348</v>
      </c>
      <c r="AM366" s="16" t="s">
        <v>6556</v>
      </c>
      <c r="AN366" s="2"/>
      <c r="AO366" s="2" t="s">
        <v>6367</v>
      </c>
      <c r="AP366" s="2" t="s">
        <v>6368</v>
      </c>
      <c r="AQ366" s="2"/>
      <c r="AR366" s="16" t="s">
        <v>6555</v>
      </c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</row>
    <row r="367" spans="3:58" ht="17.25" customHeight="1">
      <c r="C367" s="1">
        <v>44002</v>
      </c>
      <c r="E367" s="2" t="s">
        <v>1305</v>
      </c>
      <c r="F367" s="15"/>
      <c r="G367" s="2" t="s">
        <v>6360</v>
      </c>
      <c r="H367" s="2" t="s">
        <v>6359</v>
      </c>
      <c r="I367" s="2"/>
      <c r="J367" s="2">
        <v>1</v>
      </c>
      <c r="K367" s="2"/>
      <c r="L367" s="3">
        <v>29.95</v>
      </c>
      <c r="M367" s="3">
        <v>2.99</v>
      </c>
      <c r="N367" s="3">
        <v>1.71</v>
      </c>
      <c r="O367" s="3">
        <v>2.17</v>
      </c>
      <c r="P367" s="3">
        <f>2.17-2.17</f>
        <v>0</v>
      </c>
      <c r="Q367" s="6">
        <f t="shared" ref="Q367" si="817">+L367-M367-N367+P367</f>
        <v>25.25</v>
      </c>
      <c r="R367" s="3"/>
      <c r="S367" s="3">
        <v>19.13</v>
      </c>
      <c r="T367" s="3">
        <v>1.38</v>
      </c>
      <c r="U367" s="3"/>
      <c r="V367" s="3"/>
      <c r="W367" s="3"/>
      <c r="X367" s="2">
        <f t="shared" ref="X367" si="818">+S367+T367++U367+V367-W367</f>
        <v>20.509999999999998</v>
      </c>
      <c r="Y367" s="6">
        <f t="shared" ref="Y367" si="819">+Q367-X367</f>
        <v>4.740000000000002</v>
      </c>
      <c r="Z367" s="2"/>
      <c r="AA367" s="2"/>
      <c r="AB367" s="2"/>
      <c r="AC367" s="3"/>
      <c r="AD367" s="2"/>
      <c r="AE367" s="2"/>
      <c r="AF367" s="2"/>
      <c r="AG367" s="2"/>
      <c r="AH367" s="2" t="s">
        <v>6362</v>
      </c>
      <c r="AI367" s="2" t="s">
        <v>6361</v>
      </c>
      <c r="AJ367" s="2"/>
      <c r="AK367" s="2"/>
      <c r="AL367" s="2" t="s">
        <v>6493</v>
      </c>
      <c r="AM367" s="16" t="s">
        <v>6492</v>
      </c>
      <c r="AN367" s="2"/>
      <c r="AO367" s="2" t="s">
        <v>6465</v>
      </c>
      <c r="AP367" s="2" t="s">
        <v>6466</v>
      </c>
      <c r="AQ367" s="2"/>
      <c r="AR367" s="16" t="s">
        <v>6440</v>
      </c>
      <c r="AS367" s="2"/>
      <c r="AT367" s="2"/>
      <c r="AU367" s="2" t="s">
        <v>6494</v>
      </c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</row>
    <row r="368" spans="3:58" ht="17.25" customHeight="1">
      <c r="C368" s="1">
        <v>44002</v>
      </c>
      <c r="E368" s="2" t="s">
        <v>4038</v>
      </c>
      <c r="F368" s="15"/>
      <c r="G368" s="2" t="s">
        <v>8282</v>
      </c>
      <c r="H368" s="2" t="s">
        <v>8221</v>
      </c>
      <c r="I368" s="2"/>
      <c r="J368" s="2">
        <v>1</v>
      </c>
      <c r="K368" s="2"/>
      <c r="L368" s="3">
        <v>32.75</v>
      </c>
      <c r="M368" s="3">
        <v>3.27</v>
      </c>
      <c r="N368" s="3">
        <v>1.84</v>
      </c>
      <c r="O368" s="3">
        <v>1.79</v>
      </c>
      <c r="P368" s="3">
        <f>1.79-1.79</f>
        <v>0</v>
      </c>
      <c r="Q368" s="6">
        <f t="shared" ref="Q368" si="820">+L368-M368-N368+P368</f>
        <v>27.64</v>
      </c>
      <c r="R368" s="3"/>
      <c r="S368" s="3">
        <v>16.95</v>
      </c>
      <c r="T368" s="3">
        <v>0.93</v>
      </c>
      <c r="U368" s="3">
        <v>5</v>
      </c>
      <c r="V368" s="3"/>
      <c r="W368" s="3">
        <v>1.49</v>
      </c>
      <c r="X368" s="2">
        <f t="shared" ref="X368" si="821">+S368+T368++U368+V368-W368</f>
        <v>21.39</v>
      </c>
      <c r="Y368" s="6">
        <f t="shared" ref="Y368" si="822">+Q368-X368</f>
        <v>6.25</v>
      </c>
      <c r="Z368" s="2"/>
      <c r="AA368" s="2"/>
      <c r="AB368" s="2"/>
      <c r="AC368" s="3"/>
      <c r="AD368" s="2"/>
      <c r="AE368" s="2"/>
      <c r="AF368" s="2"/>
      <c r="AG368" s="2"/>
      <c r="AH368" s="2" t="s">
        <v>6358</v>
      </c>
      <c r="AI368" s="2" t="s">
        <v>6357</v>
      </c>
      <c r="AJ368" s="2"/>
      <c r="AK368" s="2"/>
      <c r="AL368" s="2" t="s">
        <v>7833</v>
      </c>
      <c r="AM368" s="16" t="s">
        <v>8281</v>
      </c>
      <c r="AN368" s="2"/>
      <c r="AO368" s="2" t="s">
        <v>8222</v>
      </c>
      <c r="AP368" s="2" t="s">
        <v>6356</v>
      </c>
      <c r="AQ368" s="5" t="s">
        <v>6388</v>
      </c>
      <c r="AR368" s="16" t="s">
        <v>8260</v>
      </c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</row>
    <row r="369" spans="3:58" ht="17.25" customHeight="1">
      <c r="C369" s="1">
        <v>44002</v>
      </c>
      <c r="E369" s="2" t="s">
        <v>6351</v>
      </c>
      <c r="F369" s="15"/>
      <c r="G369" s="2" t="s">
        <v>7066</v>
      </c>
      <c r="H369" s="2" t="s">
        <v>6352</v>
      </c>
      <c r="I369" s="2"/>
      <c r="J369" s="2">
        <v>1</v>
      </c>
      <c r="K369" s="2"/>
      <c r="L369" s="3">
        <v>84.5</v>
      </c>
      <c r="M369" s="3">
        <v>8.4499999999999993</v>
      </c>
      <c r="N369" s="3">
        <v>4.0199999999999996</v>
      </c>
      <c r="O369" s="3">
        <v>0</v>
      </c>
      <c r="P369" s="3">
        <v>0</v>
      </c>
      <c r="Q369" s="6">
        <f t="shared" ref="Q369" si="823">+L369-M369-N369+P369</f>
        <v>72.03</v>
      </c>
      <c r="R369" s="3"/>
      <c r="S369" s="3">
        <v>65.19</v>
      </c>
      <c r="T369" s="3">
        <v>0</v>
      </c>
      <c r="U369" s="3"/>
      <c r="V369" s="3"/>
      <c r="W369" s="3">
        <f>6.51</f>
        <v>6.51</v>
      </c>
      <c r="X369" s="2">
        <f t="shared" ref="X369" si="824">+S369+T369++U369+V369-W369</f>
        <v>58.68</v>
      </c>
      <c r="Y369" s="6">
        <f t="shared" ref="Y369" si="825">+Q369-X369</f>
        <v>13.350000000000001</v>
      </c>
      <c r="Z369" s="6">
        <f>SUM(Y361:Y369)</f>
        <v>68</v>
      </c>
      <c r="AA369" s="2"/>
      <c r="AB369" s="2"/>
      <c r="AC369" s="3"/>
      <c r="AD369" s="2"/>
      <c r="AE369" s="2"/>
      <c r="AF369" s="2"/>
      <c r="AG369" s="2"/>
      <c r="AH369" s="2" t="s">
        <v>6354</v>
      </c>
      <c r="AI369" s="2" t="s">
        <v>6353</v>
      </c>
      <c r="AJ369" s="2"/>
      <c r="AK369" s="2"/>
      <c r="AL369" s="2" t="s">
        <v>2926</v>
      </c>
      <c r="AM369" s="16" t="s">
        <v>6755</v>
      </c>
      <c r="AN369" s="2"/>
      <c r="AO369" s="2" t="s">
        <v>6744</v>
      </c>
      <c r="AP369" s="2" t="s">
        <v>6564</v>
      </c>
      <c r="AQ369" s="2"/>
      <c r="AR369" s="16" t="s">
        <v>6745</v>
      </c>
      <c r="AS369" s="2" t="s">
        <v>7964</v>
      </c>
      <c r="AU369" s="2" t="s">
        <v>7276</v>
      </c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</row>
    <row r="370" spans="3:58" ht="17.25" customHeight="1">
      <c r="C370" s="1">
        <v>44001</v>
      </c>
      <c r="E370" s="2" t="s">
        <v>1922</v>
      </c>
      <c r="F370" s="15"/>
      <c r="G370" s="2" t="s">
        <v>6343</v>
      </c>
      <c r="H370" s="2" t="s">
        <v>6342</v>
      </c>
      <c r="I370" s="2"/>
      <c r="J370" s="2">
        <v>1</v>
      </c>
      <c r="K370" s="2"/>
      <c r="L370" s="3">
        <v>23.35</v>
      </c>
      <c r="M370" s="3">
        <v>2.33</v>
      </c>
      <c r="N370" s="3">
        <v>1.39</v>
      </c>
      <c r="O370" s="3">
        <v>1.4</v>
      </c>
      <c r="P370" s="3">
        <f>1.4-1.4</f>
        <v>0</v>
      </c>
      <c r="Q370" s="6">
        <f t="shared" ref="Q370" si="826">+L370-M370-N370+P370</f>
        <v>19.630000000000003</v>
      </c>
      <c r="R370" s="3"/>
      <c r="S370" s="3">
        <v>12.99</v>
      </c>
      <c r="T370" s="3">
        <v>0.79</v>
      </c>
      <c r="U370" s="3"/>
      <c r="V370" s="3"/>
      <c r="W370" s="3"/>
      <c r="X370" s="3">
        <f t="shared" ref="X370" si="827">+S370+T370++U370+V370-W370</f>
        <v>13.780000000000001</v>
      </c>
      <c r="Y370" s="6">
        <f t="shared" ref="Y370" si="828">+Q370-X370</f>
        <v>5.8500000000000014</v>
      </c>
      <c r="Z370" s="2"/>
      <c r="AA370" s="2"/>
      <c r="AB370" s="2"/>
      <c r="AC370" s="3"/>
      <c r="AD370" s="2"/>
      <c r="AE370" s="2"/>
      <c r="AF370" s="2"/>
      <c r="AG370" s="2"/>
      <c r="AH370" s="2" t="s">
        <v>6345</v>
      </c>
      <c r="AI370" s="2" t="s">
        <v>6344</v>
      </c>
      <c r="AJ370" s="2"/>
      <c r="AK370" s="2" t="s">
        <v>6441</v>
      </c>
      <c r="AL370" s="2" t="s">
        <v>6493</v>
      </c>
      <c r="AM370" s="16" t="s">
        <v>6608</v>
      </c>
      <c r="AN370" s="2"/>
      <c r="AO370" s="2" t="s">
        <v>6409</v>
      </c>
      <c r="AP370" s="2" t="s">
        <v>591</v>
      </c>
      <c r="AQ370" s="2"/>
      <c r="AR370" s="16" t="s">
        <v>6408</v>
      </c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</row>
    <row r="371" spans="3:58" ht="17.25" customHeight="1">
      <c r="C371" s="1">
        <v>44001</v>
      </c>
      <c r="E371" s="2" t="s">
        <v>772</v>
      </c>
      <c r="F371" s="15"/>
      <c r="G371" s="2" t="s">
        <v>6341</v>
      </c>
      <c r="H371" s="2" t="s">
        <v>6340</v>
      </c>
      <c r="I371" s="2"/>
      <c r="J371" s="2">
        <v>0</v>
      </c>
      <c r="K371" s="2"/>
      <c r="L371" s="3"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2"/>
      <c r="AA371" s="2"/>
      <c r="AB371" s="2"/>
      <c r="AC371" s="3"/>
      <c r="AD371" s="2"/>
      <c r="AE371" s="2"/>
      <c r="AF371" s="2"/>
      <c r="AG371" s="2"/>
      <c r="AH371" s="2" t="s">
        <v>6339</v>
      </c>
      <c r="AI371" s="2" t="s">
        <v>6338</v>
      </c>
      <c r="AJ371" s="2"/>
      <c r="AK371" s="2"/>
      <c r="AL371" s="2"/>
      <c r="AM371" s="2"/>
      <c r="AN371" s="2"/>
      <c r="AO371" s="5" t="s">
        <v>6355</v>
      </c>
      <c r="AP371" s="5" t="s">
        <v>6355</v>
      </c>
      <c r="AQ371" s="5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</row>
    <row r="372" spans="3:58" ht="17.25" customHeight="1">
      <c r="C372" s="1">
        <v>44001</v>
      </c>
      <c r="E372" s="2" t="s">
        <v>6062</v>
      </c>
      <c r="F372" s="15"/>
      <c r="G372" s="2" t="s">
        <v>6334</v>
      </c>
      <c r="H372" s="2" t="s">
        <v>6333</v>
      </c>
      <c r="I372" s="2"/>
      <c r="J372" s="2">
        <v>1</v>
      </c>
      <c r="K372" s="2"/>
      <c r="L372" s="3">
        <v>33.5</v>
      </c>
      <c r="M372" s="3">
        <v>3.35</v>
      </c>
      <c r="N372" s="3">
        <v>1.87</v>
      </c>
      <c r="O372" s="3">
        <v>2.09</v>
      </c>
      <c r="P372" s="3">
        <f>2.09-2.09</f>
        <v>0</v>
      </c>
      <c r="Q372" s="6">
        <f t="shared" ref="Q372" si="829">+L372-M372-N372+P372</f>
        <v>28.279999999999998</v>
      </c>
      <c r="R372" s="3"/>
      <c r="S372" s="3">
        <v>18.989999999999998</v>
      </c>
      <c r="T372" s="3">
        <v>1.18</v>
      </c>
      <c r="U372" s="3"/>
      <c r="V372" s="3"/>
      <c r="W372" s="3"/>
      <c r="X372" s="2">
        <f t="shared" ref="X372" si="830">+S372+T372++U372+V372-W372</f>
        <v>20.169999999999998</v>
      </c>
      <c r="Y372" s="6">
        <f t="shared" ref="Y372" si="831">+Q372-X372</f>
        <v>8.11</v>
      </c>
      <c r="Z372" s="2"/>
      <c r="AA372" s="2"/>
      <c r="AB372" s="2"/>
      <c r="AC372" s="3"/>
      <c r="AD372" s="2"/>
      <c r="AE372" s="2"/>
      <c r="AF372" s="2"/>
      <c r="AG372" s="2"/>
      <c r="AH372" s="2" t="s">
        <v>6336</v>
      </c>
      <c r="AI372" s="2" t="s">
        <v>6335</v>
      </c>
      <c r="AJ372" s="2"/>
      <c r="AK372" s="2"/>
      <c r="AL372" s="2" t="s">
        <v>6382</v>
      </c>
      <c r="AM372" s="2" t="s">
        <v>6457</v>
      </c>
      <c r="AN372" s="2"/>
      <c r="AO372" s="2" t="s">
        <v>6439</v>
      </c>
      <c r="AP372" s="2" t="s">
        <v>6337</v>
      </c>
      <c r="AQ372" s="2"/>
      <c r="AR372" s="16" t="s">
        <v>6500</v>
      </c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</row>
    <row r="373" spans="3:58" ht="17.25" customHeight="1">
      <c r="C373" s="1">
        <v>44001</v>
      </c>
      <c r="E373" s="2" t="s">
        <v>6316</v>
      </c>
      <c r="F373" s="15"/>
      <c r="G373" s="2" t="s">
        <v>6318</v>
      </c>
      <c r="H373" s="2" t="s">
        <v>6317</v>
      </c>
      <c r="I373" s="2"/>
      <c r="J373" s="2">
        <v>1</v>
      </c>
      <c r="K373" s="2"/>
      <c r="L373" s="3">
        <v>35.85</v>
      </c>
      <c r="M373" s="3">
        <v>3.58</v>
      </c>
      <c r="N373" s="3">
        <v>1.99</v>
      </c>
      <c r="O373" s="3">
        <v>2.5099999999999998</v>
      </c>
      <c r="P373" s="3">
        <f>2.51-2.51</f>
        <v>0</v>
      </c>
      <c r="Q373" s="6">
        <f t="shared" ref="Q373:Q374" si="832">+L373-M373-N373+P373</f>
        <v>30.280000000000005</v>
      </c>
      <c r="R373" s="3"/>
      <c r="S373" s="3">
        <v>17.989999999999998</v>
      </c>
      <c r="T373" s="3">
        <v>1.26</v>
      </c>
      <c r="U373" s="3"/>
      <c r="V373" s="3"/>
      <c r="W373" s="3"/>
      <c r="X373" s="2">
        <f t="shared" ref="X373" si="833">+S373+T373++U373+V373-W373</f>
        <v>19.25</v>
      </c>
      <c r="Y373" s="6">
        <f t="shared" ref="Y373" si="834">+Q373-X373</f>
        <v>11.030000000000005</v>
      </c>
      <c r="Z373" s="2"/>
      <c r="AA373" s="2"/>
      <c r="AB373" s="2"/>
      <c r="AC373" s="3"/>
      <c r="AD373" s="2"/>
      <c r="AE373" s="2"/>
      <c r="AF373" s="2"/>
      <c r="AG373" s="2"/>
      <c r="AH373" s="2" t="s">
        <v>6320</v>
      </c>
      <c r="AI373" s="2" t="s">
        <v>6319</v>
      </c>
      <c r="AJ373" s="2"/>
      <c r="AK373" s="2"/>
      <c r="AL373" s="2" t="s">
        <v>6425</v>
      </c>
      <c r="AM373" s="16" t="s">
        <v>6427</v>
      </c>
      <c r="AN373" s="2"/>
      <c r="AO373" s="2" t="s">
        <v>6371</v>
      </c>
      <c r="AP373" s="2" t="s">
        <v>591</v>
      </c>
      <c r="AQ373" s="2"/>
      <c r="AR373" s="16" t="s">
        <v>6346</v>
      </c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</row>
    <row r="374" spans="3:58" ht="17.25" customHeight="1">
      <c r="C374" s="1">
        <v>44001</v>
      </c>
      <c r="E374" s="2" t="s">
        <v>6101</v>
      </c>
      <c r="F374" s="15"/>
      <c r="G374" s="2" t="s">
        <v>6322</v>
      </c>
      <c r="H374" s="2" t="s">
        <v>6321</v>
      </c>
      <c r="I374" s="2"/>
      <c r="J374" s="2">
        <v>1</v>
      </c>
      <c r="K374" s="2"/>
      <c r="L374" s="3">
        <v>29.5</v>
      </c>
      <c r="M374" s="3">
        <v>2.95</v>
      </c>
      <c r="N374" s="3">
        <v>1.7</v>
      </c>
      <c r="O374" s="3">
        <v>2.36</v>
      </c>
      <c r="P374" s="3">
        <f>2.36-2.36</f>
        <v>0</v>
      </c>
      <c r="Q374" s="6">
        <f t="shared" si="832"/>
        <v>24.85</v>
      </c>
      <c r="R374" s="3"/>
      <c r="S374" s="3">
        <v>17.989999999999998</v>
      </c>
      <c r="T374" s="3">
        <v>1.44</v>
      </c>
      <c r="U374" s="3"/>
      <c r="V374" s="3"/>
      <c r="W374" s="3"/>
      <c r="X374" s="2">
        <f t="shared" ref="X374" si="835">+S374+T374++U374+V374-W374</f>
        <v>19.43</v>
      </c>
      <c r="Y374" s="6">
        <f t="shared" ref="Y374" si="836">+Q374-X374</f>
        <v>5.4200000000000017</v>
      </c>
      <c r="Z374" s="2"/>
      <c r="AA374" s="2"/>
      <c r="AB374" s="2"/>
      <c r="AC374" s="3"/>
      <c r="AD374" s="2"/>
      <c r="AE374" s="2"/>
      <c r="AF374" s="2"/>
      <c r="AG374" s="2"/>
      <c r="AH374" s="2" t="s">
        <v>6324</v>
      </c>
      <c r="AI374" s="2" t="s">
        <v>6323</v>
      </c>
      <c r="AJ374" s="2"/>
      <c r="AK374" s="2"/>
      <c r="AL374" s="2" t="s">
        <v>6382</v>
      </c>
      <c r="AM374" s="16" t="s">
        <v>6387</v>
      </c>
      <c r="AN374" s="2"/>
      <c r="AO374" s="2" t="s">
        <v>6325</v>
      </c>
      <c r="AP374" s="2" t="s">
        <v>591</v>
      </c>
      <c r="AQ374" s="2"/>
      <c r="AR374" s="16" t="s">
        <v>6326</v>
      </c>
      <c r="AS374" s="16" t="s">
        <v>6501</v>
      </c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</row>
    <row r="375" spans="3:58" ht="17.25" customHeight="1">
      <c r="C375" s="1">
        <v>44001</v>
      </c>
      <c r="E375" s="2" t="s">
        <v>6309</v>
      </c>
      <c r="F375" s="15"/>
      <c r="G375" s="2" t="s">
        <v>6311</v>
      </c>
      <c r="H375" s="2" t="s">
        <v>6310</v>
      </c>
      <c r="I375" s="2"/>
      <c r="J375" s="2">
        <v>1</v>
      </c>
      <c r="K375" s="2"/>
      <c r="L375" s="3">
        <v>19.5</v>
      </c>
      <c r="M375" s="3">
        <v>1.95</v>
      </c>
      <c r="N375" s="3">
        <v>1.1599999999999999</v>
      </c>
      <c r="O375" s="3"/>
      <c r="P375" s="3"/>
      <c r="Q375" s="6">
        <f t="shared" ref="Q375:Q376" si="837">+L375-M375-N375+P375</f>
        <v>16.39</v>
      </c>
      <c r="R375" s="3"/>
      <c r="S375" s="3">
        <v>9.99</v>
      </c>
      <c r="T375" s="3">
        <v>0.72</v>
      </c>
      <c r="U375" s="3"/>
      <c r="V375" s="3"/>
      <c r="W375" s="3">
        <v>0</v>
      </c>
      <c r="X375" s="2">
        <f t="shared" ref="X375" si="838">+S375+T375++U375+V375-W375</f>
        <v>10.71</v>
      </c>
      <c r="Y375" s="6">
        <f t="shared" ref="Y375" si="839">+Q375-X375</f>
        <v>5.68</v>
      </c>
      <c r="Z375" s="6">
        <f>SUM(Y370:Y375)</f>
        <v>36.090000000000003</v>
      </c>
      <c r="AA375" s="2"/>
      <c r="AB375" s="2"/>
      <c r="AC375" s="3"/>
      <c r="AD375" s="2"/>
      <c r="AE375" s="2"/>
      <c r="AF375" s="2"/>
      <c r="AG375" s="2"/>
      <c r="AH375" s="2" t="s">
        <v>6313</v>
      </c>
      <c r="AI375" s="2" t="s">
        <v>6312</v>
      </c>
      <c r="AJ375" s="2"/>
      <c r="AK375" s="2"/>
      <c r="AL375" s="2" t="s">
        <v>6425</v>
      </c>
      <c r="AM375" s="16" t="s">
        <v>6424</v>
      </c>
      <c r="AN375" s="2"/>
      <c r="AO375" s="2" t="s">
        <v>6314</v>
      </c>
      <c r="AP375" s="2" t="s">
        <v>6426</v>
      </c>
      <c r="AQ375" s="2"/>
      <c r="AR375" s="16" t="s">
        <v>6315</v>
      </c>
      <c r="AS375" s="16" t="s">
        <v>6328</v>
      </c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</row>
    <row r="376" spans="3:58" ht="17.25" customHeight="1">
      <c r="C376" s="1">
        <v>44000</v>
      </c>
      <c r="E376" s="2" t="s">
        <v>3290</v>
      </c>
      <c r="F376" s="15"/>
      <c r="G376" s="2" t="s">
        <v>6380</v>
      </c>
      <c r="H376" s="2" t="s">
        <v>6495</v>
      </c>
      <c r="I376" s="2"/>
      <c r="J376" s="2">
        <v>1</v>
      </c>
      <c r="K376" s="2"/>
      <c r="L376" s="3">
        <v>39.35</v>
      </c>
      <c r="M376" s="3">
        <v>3.93</v>
      </c>
      <c r="N376" s="3">
        <v>2.15</v>
      </c>
      <c r="O376" s="3">
        <v>2.61</v>
      </c>
      <c r="P376" s="3">
        <f>2.61-2.61</f>
        <v>0</v>
      </c>
      <c r="Q376" s="6">
        <f t="shared" si="837"/>
        <v>33.270000000000003</v>
      </c>
      <c r="R376" s="3"/>
      <c r="S376" s="3">
        <v>23.99</v>
      </c>
      <c r="T376" s="3">
        <v>1.59</v>
      </c>
      <c r="U376" s="3">
        <v>0</v>
      </c>
      <c r="V376" s="3"/>
      <c r="W376" s="3">
        <v>0</v>
      </c>
      <c r="X376" s="2">
        <f t="shared" ref="X376" si="840">+S376+T376++U376+V376-W376</f>
        <v>25.58</v>
      </c>
      <c r="Y376" s="6">
        <f t="shared" ref="Y376:Y377" si="841">+Q376-X376</f>
        <v>7.6900000000000048</v>
      </c>
      <c r="Z376" s="2"/>
      <c r="AA376" s="2"/>
      <c r="AB376" s="2"/>
      <c r="AC376" s="3"/>
      <c r="AD376" s="2"/>
      <c r="AE376" s="2"/>
      <c r="AF376" s="2"/>
      <c r="AG376" s="2"/>
      <c r="AH376" s="2" t="s">
        <v>6307</v>
      </c>
      <c r="AI376" s="2" t="s">
        <v>6306</v>
      </c>
      <c r="AJ376" s="2"/>
      <c r="AK376" s="2"/>
      <c r="AL376" s="2" t="s">
        <v>6348</v>
      </c>
      <c r="AM376" s="16" t="s">
        <v>6428</v>
      </c>
      <c r="AN376" s="2"/>
      <c r="AO376" s="2" t="s">
        <v>6308</v>
      </c>
      <c r="AP376" s="2" t="s">
        <v>6043</v>
      </c>
      <c r="AQ376" s="2"/>
      <c r="AR376" s="16" t="s">
        <v>6166</v>
      </c>
      <c r="AS376" s="5" t="s">
        <v>6429</v>
      </c>
      <c r="AT376" s="2"/>
      <c r="AU376" s="2" t="s">
        <v>7961</v>
      </c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</row>
    <row r="377" spans="3:58" ht="17.25" customHeight="1">
      <c r="C377" s="1">
        <v>44000</v>
      </c>
      <c r="E377" s="2" t="s">
        <v>6220</v>
      </c>
      <c r="F377" s="15"/>
      <c r="G377" s="2" t="s">
        <v>6293</v>
      </c>
      <c r="H377" s="2" t="s">
        <v>6292</v>
      </c>
      <c r="I377" s="2"/>
      <c r="J377" s="2">
        <v>1</v>
      </c>
      <c r="K377" s="2"/>
      <c r="L377" s="3">
        <v>22.99</v>
      </c>
      <c r="M377" s="3">
        <v>2.29</v>
      </c>
      <c r="N377" s="3">
        <v>1.37</v>
      </c>
      <c r="O377" s="3">
        <v>1.38</v>
      </c>
      <c r="P377" s="3">
        <f>1.38-1.38</f>
        <v>0</v>
      </c>
      <c r="Q377" s="6">
        <f t="shared" ref="Q377" si="842">+L377-M377-N377+P377</f>
        <v>19.329999999999998</v>
      </c>
      <c r="R377" s="3"/>
      <c r="S377" s="3">
        <v>12.3</v>
      </c>
      <c r="T377" s="3">
        <v>0.74</v>
      </c>
      <c r="U377" s="3"/>
      <c r="V377" s="3"/>
      <c r="W377" s="3">
        <v>1.23</v>
      </c>
      <c r="X377" s="2">
        <f t="shared" ref="X377" si="843">+S377+T377++U377+V377-W377</f>
        <v>11.81</v>
      </c>
      <c r="Y377" s="6">
        <f t="shared" si="841"/>
        <v>7.5199999999999978</v>
      </c>
      <c r="Z377" s="2"/>
      <c r="AA377" s="2"/>
      <c r="AB377" s="2"/>
      <c r="AC377" s="3"/>
      <c r="AD377" s="2"/>
      <c r="AE377" s="2"/>
      <c r="AF377" s="2"/>
      <c r="AG377" s="2"/>
      <c r="AH377" s="2" t="s">
        <v>6295</v>
      </c>
      <c r="AI377" s="2" t="s">
        <v>6294</v>
      </c>
      <c r="AJ377" s="2"/>
      <c r="AK377" s="2"/>
      <c r="AL377" s="2" t="s">
        <v>6425</v>
      </c>
      <c r="AM377" s="16" t="s">
        <v>6502</v>
      </c>
      <c r="AN377" s="2"/>
      <c r="AO377" s="2" t="s">
        <v>6369</v>
      </c>
      <c r="AP377" s="2" t="s">
        <v>5905</v>
      </c>
      <c r="AQ377" s="2"/>
      <c r="AR377" s="16" t="s">
        <v>6370</v>
      </c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</row>
    <row r="378" spans="3:58" ht="17.25" customHeight="1">
      <c r="C378" s="1">
        <v>44000</v>
      </c>
      <c r="E378" s="2" t="s">
        <v>61</v>
      </c>
      <c r="F378" s="15"/>
      <c r="G378" s="2" t="s">
        <v>6283</v>
      </c>
      <c r="H378" s="2" t="s">
        <v>6282</v>
      </c>
      <c r="I378" s="2"/>
      <c r="J378" s="2">
        <v>1</v>
      </c>
      <c r="K378" s="2"/>
      <c r="L378" s="3">
        <v>41.7</v>
      </c>
      <c r="M378" s="3">
        <v>4.17</v>
      </c>
      <c r="N378" s="3">
        <v>2.3199999999999998</v>
      </c>
      <c r="O378" s="3"/>
      <c r="P378" s="3">
        <v>4.17</v>
      </c>
      <c r="Q378" s="6">
        <f t="shared" ref="Q378:Q385" si="844">+L378-M378-N378+P378</f>
        <v>39.380000000000003</v>
      </c>
      <c r="R378" s="3"/>
      <c r="S378" s="3">
        <v>25.98</v>
      </c>
      <c r="T378" s="3">
        <v>2.59</v>
      </c>
      <c r="U378" s="3"/>
      <c r="V378" s="3"/>
      <c r="W378" s="3"/>
      <c r="X378" s="2">
        <f t="shared" ref="X378" si="845">+S378+T378++U378+V378-W378</f>
        <v>28.57</v>
      </c>
      <c r="Y378" s="6">
        <f t="shared" ref="Y378" si="846">+Q378-X378</f>
        <v>10.810000000000002</v>
      </c>
      <c r="Z378" s="2"/>
      <c r="AA378" s="2"/>
      <c r="AB378" s="2"/>
      <c r="AC378" s="3"/>
      <c r="AD378" s="2"/>
      <c r="AE378" s="2"/>
      <c r="AF378" s="2"/>
      <c r="AG378" s="2"/>
      <c r="AH378" s="2" t="s">
        <v>6281</v>
      </c>
      <c r="AI378" s="2" t="s">
        <v>6280</v>
      </c>
      <c r="AJ378" s="2"/>
      <c r="AK378" s="2"/>
      <c r="AL378" s="2" t="s">
        <v>6464</v>
      </c>
      <c r="AM378" s="2" t="s">
        <v>6463</v>
      </c>
      <c r="AN378" s="2"/>
      <c r="AO378" s="2" t="s">
        <v>6349</v>
      </c>
      <c r="AP378" s="2" t="s">
        <v>3685</v>
      </c>
      <c r="AQ378" s="2"/>
      <c r="AR378" s="16" t="s">
        <v>6350</v>
      </c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</row>
    <row r="379" spans="3:58" ht="17.25" customHeight="1">
      <c r="C379" s="1">
        <v>44000</v>
      </c>
      <c r="E379" s="2" t="s">
        <v>6271</v>
      </c>
      <c r="F379" s="15"/>
      <c r="G379" s="2" t="s">
        <v>6273</v>
      </c>
      <c r="H379" s="2" t="s">
        <v>6272</v>
      </c>
      <c r="I379" s="2"/>
      <c r="J379" s="2">
        <v>1</v>
      </c>
      <c r="K379" s="2"/>
      <c r="L379" s="3">
        <v>28.85</v>
      </c>
      <c r="M379" s="3">
        <v>2.88</v>
      </c>
      <c r="N379" s="3">
        <v>1.65</v>
      </c>
      <c r="O379" s="3">
        <v>1.91</v>
      </c>
      <c r="P379" s="3">
        <f>1.91-1.91</f>
        <v>0</v>
      </c>
      <c r="Q379" s="6">
        <f t="shared" si="844"/>
        <v>24.320000000000004</v>
      </c>
      <c r="R379" s="3"/>
      <c r="S379" s="3">
        <v>19.95</v>
      </c>
      <c r="T379" s="3">
        <v>1.32</v>
      </c>
      <c r="U379" s="3"/>
      <c r="V379" s="3"/>
      <c r="W379" s="3"/>
      <c r="X379" s="2">
        <f t="shared" ref="X379" si="847">+S379+T379++U379+V379-W379</f>
        <v>21.27</v>
      </c>
      <c r="Y379" s="6">
        <f t="shared" ref="Y379" si="848">+Q379-X379</f>
        <v>3.0500000000000043</v>
      </c>
      <c r="Z379" s="6">
        <f>SUM(Y376:Y379)</f>
        <v>29.070000000000007</v>
      </c>
      <c r="AA379" s="2"/>
      <c r="AB379" s="2"/>
      <c r="AC379" s="3"/>
      <c r="AD379" s="2"/>
      <c r="AE379" s="2"/>
      <c r="AF379" s="2"/>
      <c r="AG379" s="2"/>
      <c r="AH379" s="2" t="s">
        <v>6275</v>
      </c>
      <c r="AI379" s="2" t="s">
        <v>6274</v>
      </c>
      <c r="AJ379" s="2"/>
      <c r="AK379" s="2"/>
      <c r="AL379" s="2" t="s">
        <v>6382</v>
      </c>
      <c r="AM379" s="2" t="s">
        <v>6381</v>
      </c>
      <c r="AN379" s="2"/>
      <c r="AO379" s="2" t="s">
        <v>6276</v>
      </c>
      <c r="AP379" s="2" t="s">
        <v>5322</v>
      </c>
      <c r="AQ379" s="2"/>
      <c r="AR379" s="16" t="s">
        <v>6277</v>
      </c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</row>
    <row r="380" spans="3:58" ht="17.25" customHeight="1">
      <c r="C380" s="1">
        <v>43999</v>
      </c>
      <c r="E380" s="2" t="s">
        <v>6263</v>
      </c>
      <c r="F380" s="15"/>
      <c r="G380" s="2" t="s">
        <v>6262</v>
      </c>
      <c r="H380" s="2" t="s">
        <v>6261</v>
      </c>
      <c r="I380" s="2"/>
      <c r="J380" s="2">
        <v>1</v>
      </c>
      <c r="K380" s="2"/>
      <c r="L380" s="3">
        <v>27.95</v>
      </c>
      <c r="M380" s="3">
        <v>2.79</v>
      </c>
      <c r="N380" s="3">
        <v>1.62</v>
      </c>
      <c r="O380" s="3">
        <v>1.96</v>
      </c>
      <c r="P380" s="3">
        <f>1.96-1.96</f>
        <v>0</v>
      </c>
      <c r="Q380" s="6">
        <f t="shared" si="844"/>
        <v>23.54</v>
      </c>
      <c r="R380" s="3"/>
      <c r="S380" s="3">
        <v>15.21</v>
      </c>
      <c r="T380" s="3">
        <v>1.07</v>
      </c>
      <c r="U380" s="3"/>
      <c r="V380" s="3"/>
      <c r="W380" s="3"/>
      <c r="X380" s="2">
        <f t="shared" ref="X380:X382" si="849">+S380+T380++U380+V380-W380</f>
        <v>16.28</v>
      </c>
      <c r="Y380" s="6">
        <f t="shared" ref="Y380:Y382" si="850">+Q380-X380</f>
        <v>7.259999999999998</v>
      </c>
      <c r="Z380" s="2"/>
      <c r="AA380" s="2"/>
      <c r="AB380" s="2"/>
      <c r="AC380" s="3"/>
      <c r="AD380" s="2"/>
      <c r="AE380" s="2"/>
      <c r="AF380" s="2"/>
      <c r="AG380" s="2"/>
      <c r="AH380" s="2" t="s">
        <v>6265</v>
      </c>
      <c r="AI380" s="2" t="s">
        <v>6264</v>
      </c>
      <c r="AJ380" s="2"/>
      <c r="AK380" s="2"/>
      <c r="AL380" s="2" t="s">
        <v>6462</v>
      </c>
      <c r="AM380" s="16" t="s">
        <v>6461</v>
      </c>
      <c r="AN380" s="2"/>
      <c r="AO380" s="2" t="s">
        <v>6269</v>
      </c>
      <c r="AP380" s="2" t="s">
        <v>6043</v>
      </c>
      <c r="AQ380" s="2"/>
      <c r="AR380" s="16" t="s">
        <v>6270</v>
      </c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</row>
    <row r="381" spans="3:58" ht="17.25" customHeight="1">
      <c r="C381" s="1">
        <v>43999</v>
      </c>
      <c r="E381" s="2" t="s">
        <v>6565</v>
      </c>
      <c r="F381" s="15"/>
      <c r="G381" s="2" t="s">
        <v>6570</v>
      </c>
      <c r="H381" s="2" t="s">
        <v>6568</v>
      </c>
      <c r="I381" s="2"/>
      <c r="J381" s="2">
        <v>1</v>
      </c>
      <c r="K381" s="2"/>
      <c r="L381" s="3">
        <v>77.5</v>
      </c>
      <c r="M381" s="3">
        <v>7.75</v>
      </c>
      <c r="N381" s="3">
        <v>3.95</v>
      </c>
      <c r="O381" s="3">
        <v>5.43</v>
      </c>
      <c r="P381" s="3">
        <f>5.43-5.43</f>
        <v>0</v>
      </c>
      <c r="Q381" s="6">
        <f t="shared" si="844"/>
        <v>65.8</v>
      </c>
      <c r="R381" s="3"/>
      <c r="S381" s="3">
        <v>59.19</v>
      </c>
      <c r="T381" s="3">
        <v>4.1399999999999997</v>
      </c>
      <c r="U381" s="3"/>
      <c r="V381" s="3"/>
      <c r="W381" s="3">
        <f>5.91+0.83</f>
        <v>6.74</v>
      </c>
      <c r="X381" s="2">
        <f t="shared" si="849"/>
        <v>56.589999999999996</v>
      </c>
      <c r="Y381" s="6">
        <f t="shared" si="850"/>
        <v>9.2100000000000009</v>
      </c>
      <c r="Z381" s="2"/>
      <c r="AA381" s="2"/>
      <c r="AB381" s="2"/>
      <c r="AC381" s="3"/>
      <c r="AD381" s="2"/>
      <c r="AE381" s="2"/>
      <c r="AF381" s="2"/>
      <c r="AG381" s="2"/>
      <c r="AH381" s="2" t="s">
        <v>6572</v>
      </c>
      <c r="AI381" s="2" t="s">
        <v>6571</v>
      </c>
      <c r="AJ381" s="2"/>
      <c r="AK381" s="2"/>
      <c r="AL381" s="2" t="s">
        <v>2926</v>
      </c>
      <c r="AM381" s="16" t="s">
        <v>6658</v>
      </c>
      <c r="AN381" s="2"/>
      <c r="AO381" s="2" t="s">
        <v>6576</v>
      </c>
      <c r="AP381" s="2" t="s">
        <v>6566</v>
      </c>
      <c r="AQ381" s="2"/>
      <c r="AR381" s="16" t="s">
        <v>6577</v>
      </c>
      <c r="AS381" s="16" t="s">
        <v>7963</v>
      </c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</row>
    <row r="382" spans="3:58" ht="17.25" customHeight="1">
      <c r="C382" s="1">
        <v>43999</v>
      </c>
      <c r="E382" s="2" t="s">
        <v>6561</v>
      </c>
      <c r="F382" s="15"/>
      <c r="G382" s="2" t="s">
        <v>6573</v>
      </c>
      <c r="H382" s="2" t="s">
        <v>6569</v>
      </c>
      <c r="I382" s="2"/>
      <c r="J382" s="2">
        <v>1</v>
      </c>
      <c r="K382" s="2"/>
      <c r="L382" s="3">
        <v>84.5</v>
      </c>
      <c r="M382" s="3">
        <v>8.4499999999999993</v>
      </c>
      <c r="N382" s="3">
        <v>4.26</v>
      </c>
      <c r="O382" s="3">
        <v>6.97</v>
      </c>
      <c r="P382" s="3">
        <f>6.97-6.97</f>
        <v>0</v>
      </c>
      <c r="Q382" s="6">
        <f t="shared" si="844"/>
        <v>71.789999999999992</v>
      </c>
      <c r="R382" s="3"/>
      <c r="S382" s="3">
        <v>65.19</v>
      </c>
      <c r="T382" s="3">
        <v>4.32</v>
      </c>
      <c r="U382" s="3"/>
      <c r="V382" s="3"/>
      <c r="W382" s="3">
        <f>6.51+0.43</f>
        <v>6.9399999999999995</v>
      </c>
      <c r="X382" s="2">
        <f t="shared" si="849"/>
        <v>62.569999999999993</v>
      </c>
      <c r="Y382" s="6">
        <f t="shared" si="850"/>
        <v>9.2199999999999989</v>
      </c>
      <c r="Z382" s="2"/>
      <c r="AA382" s="2"/>
      <c r="AB382" s="2"/>
      <c r="AC382" s="3"/>
      <c r="AD382" s="2"/>
      <c r="AE382" s="2"/>
      <c r="AF382" s="2"/>
      <c r="AG382" s="2"/>
      <c r="AH382" s="2" t="s">
        <v>6575</v>
      </c>
      <c r="AI382" s="2" t="s">
        <v>6574</v>
      </c>
      <c r="AJ382" s="2"/>
      <c r="AK382" s="2"/>
      <c r="AL382" s="2" t="s">
        <v>2926</v>
      </c>
      <c r="AM382" s="16" t="s">
        <v>6751</v>
      </c>
      <c r="AN382" s="2"/>
      <c r="AO382" s="2" t="s">
        <v>6578</v>
      </c>
      <c r="AP382" s="2" t="s">
        <v>6567</v>
      </c>
      <c r="AQ382" s="2"/>
      <c r="AR382" s="16" t="s">
        <v>6577</v>
      </c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</row>
    <row r="383" spans="3:58" ht="17.25" customHeight="1">
      <c r="C383" s="1">
        <v>43999</v>
      </c>
      <c r="E383" s="2" t="s">
        <v>62</v>
      </c>
      <c r="F383" s="15"/>
      <c r="G383" s="2" t="s">
        <v>6246</v>
      </c>
      <c r="H383" s="2" t="s">
        <v>6245</v>
      </c>
      <c r="I383" s="2"/>
      <c r="J383" s="2">
        <v>1</v>
      </c>
      <c r="K383" s="2"/>
      <c r="L383" s="3">
        <v>61.5</v>
      </c>
      <c r="M383" s="3">
        <v>6.15</v>
      </c>
      <c r="N383" s="3">
        <v>3.03</v>
      </c>
      <c r="O383" s="3">
        <v>3.38</v>
      </c>
      <c r="P383" s="3">
        <f>3.38-3.38</f>
        <v>0</v>
      </c>
      <c r="Q383" s="6">
        <f t="shared" si="844"/>
        <v>52.32</v>
      </c>
      <c r="R383" s="3"/>
      <c r="S383" s="3">
        <v>40</v>
      </c>
      <c r="T383" s="3">
        <v>2.16</v>
      </c>
      <c r="U383" s="3"/>
      <c r="V383" s="3"/>
      <c r="W383" s="3"/>
      <c r="X383" s="2">
        <f t="shared" ref="X383" si="851">+S383+T383++U383+V383-W383</f>
        <v>42.16</v>
      </c>
      <c r="Y383" s="6">
        <f t="shared" ref="Y383" si="852">+Q383-X383</f>
        <v>10.160000000000004</v>
      </c>
      <c r="Z383" s="2"/>
      <c r="AA383" s="2"/>
      <c r="AB383" s="2"/>
      <c r="AC383" s="3"/>
      <c r="AD383" s="2"/>
      <c r="AE383" s="2"/>
      <c r="AF383" s="2"/>
      <c r="AG383" s="2"/>
      <c r="AH383" s="2" t="s">
        <v>6248</v>
      </c>
      <c r="AI383" s="2" t="s">
        <v>6247</v>
      </c>
      <c r="AJ383" s="2"/>
      <c r="AK383" s="2"/>
      <c r="AL383" s="2" t="s">
        <v>6505</v>
      </c>
      <c r="AM383" s="16" t="s">
        <v>6506</v>
      </c>
      <c r="AN383" s="2"/>
      <c r="AO383" s="2" t="s">
        <v>6249</v>
      </c>
      <c r="AP383" s="2" t="s">
        <v>6243</v>
      </c>
      <c r="AQ383" s="2"/>
      <c r="AR383" s="2" t="s">
        <v>6250</v>
      </c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</row>
    <row r="384" spans="3:58" ht="17.25" customHeight="1">
      <c r="C384" s="1">
        <v>43999</v>
      </c>
      <c r="E384" s="2" t="s">
        <v>61</v>
      </c>
      <c r="F384" s="15"/>
      <c r="G384" s="2" t="s">
        <v>6246</v>
      </c>
      <c r="H384" s="2" t="s">
        <v>6245</v>
      </c>
      <c r="I384" s="2"/>
      <c r="J384" s="2">
        <v>1</v>
      </c>
      <c r="K384" s="2"/>
      <c r="L384" s="3">
        <v>41.7</v>
      </c>
      <c r="M384" s="3">
        <v>4.17</v>
      </c>
      <c r="N384" s="3">
        <v>2.06</v>
      </c>
      <c r="O384" s="3">
        <v>2.29</v>
      </c>
      <c r="P384" s="3">
        <f>2.29-2.29</f>
        <v>0</v>
      </c>
      <c r="Q384" s="6">
        <f t="shared" si="844"/>
        <v>35.47</v>
      </c>
      <c r="R384" s="3"/>
      <c r="S384" s="3">
        <v>25.98</v>
      </c>
      <c r="T384" s="3">
        <v>1.47</v>
      </c>
      <c r="U384" s="3"/>
      <c r="V384" s="3"/>
      <c r="W384" s="3"/>
      <c r="X384" s="2">
        <f t="shared" ref="X384" si="853">+S384+T384++U384+V384-W384</f>
        <v>27.45</v>
      </c>
      <c r="Y384" s="6">
        <f t="shared" ref="Y384" si="854">+Q384-X384</f>
        <v>8.02</v>
      </c>
      <c r="Z384" s="2"/>
      <c r="AA384" s="2"/>
      <c r="AB384" s="2"/>
      <c r="AC384" s="3"/>
      <c r="AD384" s="2"/>
      <c r="AE384" s="2"/>
      <c r="AF384" s="2"/>
      <c r="AG384" s="2"/>
      <c r="AH384" s="2" t="s">
        <v>6248</v>
      </c>
      <c r="AI384" s="2" t="s">
        <v>6247</v>
      </c>
      <c r="AJ384" s="2"/>
      <c r="AK384" s="2"/>
      <c r="AL384" s="2" t="s">
        <v>6505</v>
      </c>
      <c r="AM384" s="2" t="s">
        <v>6507</v>
      </c>
      <c r="AN384" s="2"/>
      <c r="AO384" s="2" t="s">
        <v>6249</v>
      </c>
      <c r="AP384" s="2" t="s">
        <v>6244</v>
      </c>
      <c r="AQ384" s="2"/>
      <c r="AR384" s="2" t="s">
        <v>6250</v>
      </c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</row>
    <row r="385" spans="3:58" ht="17.25" customHeight="1">
      <c r="C385" s="1">
        <v>43999</v>
      </c>
      <c r="E385" s="2" t="s">
        <v>6238</v>
      </c>
      <c r="F385" s="15"/>
      <c r="G385" s="2" t="s">
        <v>6240</v>
      </c>
      <c r="H385" s="2" t="s">
        <v>6239</v>
      </c>
      <c r="I385" s="2"/>
      <c r="J385" s="2">
        <v>1</v>
      </c>
      <c r="K385" s="2"/>
      <c r="L385" s="3">
        <v>84.5</v>
      </c>
      <c r="M385" s="3">
        <v>8.4499999999999993</v>
      </c>
      <c r="N385" s="3">
        <v>4.24</v>
      </c>
      <c r="O385" s="3">
        <v>7.39</v>
      </c>
      <c r="P385" s="3">
        <f>7.39-7.39</f>
        <v>0</v>
      </c>
      <c r="Q385" s="6">
        <f t="shared" si="844"/>
        <v>71.81</v>
      </c>
      <c r="R385" s="3"/>
      <c r="S385" s="3">
        <v>65.19</v>
      </c>
      <c r="T385" s="3">
        <v>5.07</v>
      </c>
      <c r="U385" s="3"/>
      <c r="V385" s="3"/>
      <c r="W385" s="3">
        <f>6.51</f>
        <v>6.51</v>
      </c>
      <c r="X385" s="2">
        <f t="shared" ref="X385" si="855">+S385+T385++U385+V385-W385</f>
        <v>63.749999999999993</v>
      </c>
      <c r="Y385" s="6">
        <f t="shared" ref="Y385" si="856">+Q385-X385</f>
        <v>8.0600000000000094</v>
      </c>
      <c r="Z385" s="2"/>
      <c r="AA385" s="2"/>
      <c r="AB385" s="2"/>
      <c r="AC385" s="3"/>
      <c r="AD385" s="2"/>
      <c r="AE385" s="2"/>
      <c r="AF385" s="2"/>
      <c r="AG385" s="2"/>
      <c r="AH385" s="2" t="s">
        <v>6242</v>
      </c>
      <c r="AI385" s="2" t="s">
        <v>6241</v>
      </c>
      <c r="AJ385" s="2"/>
      <c r="AK385" s="2"/>
      <c r="AL385" s="2" t="s">
        <v>2926</v>
      </c>
      <c r="AM385" s="16" t="s">
        <v>6754</v>
      </c>
      <c r="AN385" s="2"/>
      <c r="AO385" s="2" t="s">
        <v>6662</v>
      </c>
      <c r="AP385" s="2" t="s">
        <v>6563</v>
      </c>
      <c r="AQ385" s="2"/>
      <c r="AR385" s="16" t="s">
        <v>6655</v>
      </c>
      <c r="AS385" s="2" t="s">
        <v>7962</v>
      </c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</row>
    <row r="386" spans="3:58" ht="17.25" customHeight="1">
      <c r="C386" s="1">
        <v>43999</v>
      </c>
      <c r="E386" s="2" t="s">
        <v>6061</v>
      </c>
      <c r="F386" s="15"/>
      <c r="G386" s="2" t="s">
        <v>5162</v>
      </c>
      <c r="H386" s="2" t="s">
        <v>5161</v>
      </c>
      <c r="I386" s="2"/>
      <c r="J386" s="2">
        <v>1</v>
      </c>
      <c r="K386" s="2"/>
      <c r="L386" s="3">
        <v>33.75</v>
      </c>
      <c r="M386" s="3">
        <v>3.37</v>
      </c>
      <c r="N386" s="3">
        <v>1.87</v>
      </c>
      <c r="O386" s="3">
        <v>2.0299999999999998</v>
      </c>
      <c r="P386" s="3">
        <f>2.03-2.03</f>
        <v>0</v>
      </c>
      <c r="Q386" s="6">
        <f t="shared" ref="Q386" si="857">+L386-M386-N386+P386</f>
        <v>28.509999999999998</v>
      </c>
      <c r="R386" s="3"/>
      <c r="S386" s="3">
        <v>34.99</v>
      </c>
      <c r="T386" s="3">
        <v>2.1</v>
      </c>
      <c r="U386" s="3"/>
      <c r="V386" s="3"/>
      <c r="W386" s="3"/>
      <c r="X386" s="2">
        <f t="shared" ref="X386" si="858">+S386+T386++U386+V386-W386</f>
        <v>37.090000000000003</v>
      </c>
      <c r="Y386" s="38">
        <f t="shared" ref="Y386" si="859">+Q386-X386</f>
        <v>-8.5800000000000054</v>
      </c>
      <c r="Z386" s="2"/>
      <c r="AA386" s="2"/>
      <c r="AB386" s="2"/>
      <c r="AC386" s="3"/>
      <c r="AD386" s="2"/>
      <c r="AE386" s="2"/>
      <c r="AF386" s="2"/>
      <c r="AG386" s="2"/>
      <c r="AH386" s="2" t="s">
        <v>5164</v>
      </c>
      <c r="AI386" s="2" t="s">
        <v>5163</v>
      </c>
      <c r="AJ386" s="2"/>
      <c r="AK386" s="2"/>
      <c r="AL386" s="2" t="s">
        <v>152</v>
      </c>
      <c r="AM386" s="2" t="s">
        <v>5161</v>
      </c>
      <c r="AN386" s="2"/>
      <c r="AO386" s="2" t="s">
        <v>6304</v>
      </c>
      <c r="AP386" s="2" t="s">
        <v>6305</v>
      </c>
      <c r="AQ386" s="2"/>
      <c r="AR386" s="16" t="s">
        <v>6499</v>
      </c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</row>
    <row r="387" spans="3:58" ht="17.25" customHeight="1">
      <c r="C387" s="1">
        <v>43999</v>
      </c>
      <c r="E387" s="2" t="s">
        <v>6220</v>
      </c>
      <c r="F387" s="15"/>
      <c r="G387" s="2" t="s">
        <v>6234</v>
      </c>
      <c r="H387" s="2" t="s">
        <v>6284</v>
      </c>
      <c r="I387" s="2"/>
      <c r="J387" s="2">
        <v>0</v>
      </c>
      <c r="K387" s="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6">
        <f>SUM(Y380:Y387)</f>
        <v>43.350000000000009</v>
      </c>
      <c r="AA387" s="2"/>
      <c r="AB387" s="2"/>
      <c r="AC387" s="3"/>
      <c r="AD387" s="2"/>
      <c r="AE387" s="2"/>
      <c r="AF387" s="2"/>
      <c r="AG387" s="2"/>
      <c r="AH387" s="2" t="s">
        <v>6236</v>
      </c>
      <c r="AI387" s="2" t="s">
        <v>6235</v>
      </c>
      <c r="AJ387" s="2"/>
      <c r="AK387" s="2"/>
      <c r="AL387" s="2"/>
      <c r="AM387" s="5" t="s">
        <v>6113</v>
      </c>
      <c r="AN387" s="2"/>
      <c r="AO387" s="5" t="s">
        <v>6113</v>
      </c>
      <c r="AP387" s="5" t="s">
        <v>6113</v>
      </c>
      <c r="AQ387" s="5"/>
      <c r="AR387" s="2" t="s">
        <v>6116</v>
      </c>
      <c r="AS387" s="2"/>
      <c r="AT387" s="2"/>
      <c r="AU387" s="44" t="s">
        <v>6237</v>
      </c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</row>
    <row r="388" spans="3:58" ht="17.25" customHeight="1">
      <c r="C388" s="1">
        <v>43998</v>
      </c>
      <c r="E388" s="2" t="s">
        <v>6220</v>
      </c>
      <c r="F388" s="15"/>
      <c r="G388" s="2" t="s">
        <v>6232</v>
      </c>
      <c r="H388" s="2" t="s">
        <v>6221</v>
      </c>
      <c r="I388" s="2"/>
      <c r="J388" s="2">
        <v>1</v>
      </c>
      <c r="K388" s="2"/>
      <c r="L388" s="3">
        <v>24.99</v>
      </c>
      <c r="M388" s="3">
        <v>2.4900000000000002</v>
      </c>
      <c r="N388" s="3">
        <v>1.49</v>
      </c>
      <c r="O388" s="3">
        <v>2.13</v>
      </c>
      <c r="P388" s="3">
        <f>2.13-2.13</f>
        <v>0</v>
      </c>
      <c r="Q388" s="6">
        <f t="shared" ref="Q388" si="860">+L388-M388-N388+P388</f>
        <v>21.01</v>
      </c>
      <c r="R388" s="3"/>
      <c r="S388" s="3">
        <v>15.95</v>
      </c>
      <c r="T388" s="3">
        <v>1.36</v>
      </c>
      <c r="U388" s="3"/>
      <c r="V388" s="3"/>
      <c r="W388" s="3">
        <v>0</v>
      </c>
      <c r="X388" s="2">
        <f t="shared" ref="X388" si="861">+S388+T388++U388+V388-W388</f>
        <v>17.309999999999999</v>
      </c>
      <c r="Y388" s="6">
        <f t="shared" ref="Y388" si="862">+Q388-X388</f>
        <v>3.7000000000000028</v>
      </c>
      <c r="Z388" s="2"/>
      <c r="AA388" s="2"/>
      <c r="AB388" s="2"/>
      <c r="AC388" s="3"/>
      <c r="AD388" s="2"/>
      <c r="AE388" s="2"/>
      <c r="AF388" s="2"/>
      <c r="AG388" s="2"/>
      <c r="AH388" s="2" t="s">
        <v>6223</v>
      </c>
      <c r="AI388" s="2" t="s">
        <v>6222</v>
      </c>
      <c r="AJ388" s="2"/>
      <c r="AK388" s="2"/>
      <c r="AL388" s="2" t="s">
        <v>5966</v>
      </c>
      <c r="AM388" s="16" t="s">
        <v>6233</v>
      </c>
      <c r="AN388" s="2"/>
      <c r="AO388" s="2" t="s">
        <v>6224</v>
      </c>
      <c r="AP388" s="2" t="s">
        <v>6226</v>
      </c>
      <c r="AQ388" s="2"/>
      <c r="AR388" s="16" t="s">
        <v>6225</v>
      </c>
      <c r="AS388" s="16" t="s">
        <v>6331</v>
      </c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</row>
    <row r="389" spans="3:58" ht="17.25" customHeight="1">
      <c r="C389" s="1">
        <v>43998</v>
      </c>
      <c r="E389" s="2" t="s">
        <v>7</v>
      </c>
      <c r="F389" s="15"/>
      <c r="G389" s="2" t="s">
        <v>6217</v>
      </c>
      <c r="H389" s="2" t="s">
        <v>6216</v>
      </c>
      <c r="I389" s="2"/>
      <c r="J389" s="2">
        <v>1</v>
      </c>
      <c r="K389" s="2"/>
      <c r="L389" s="3">
        <v>61.5</v>
      </c>
      <c r="M389" s="3">
        <v>6.15</v>
      </c>
      <c r="N389" s="3">
        <v>3.17</v>
      </c>
      <c r="O389" s="3">
        <v>3.84</v>
      </c>
      <c r="P389" s="3">
        <f>3.84-3.84</f>
        <v>0</v>
      </c>
      <c r="Q389" s="6">
        <f t="shared" ref="Q389:Q390" si="863">+L389-M389-N389+P389</f>
        <v>52.18</v>
      </c>
      <c r="R389" s="3"/>
      <c r="S389" s="3">
        <v>42.99</v>
      </c>
      <c r="T389" s="3">
        <v>2.69</v>
      </c>
      <c r="U389" s="3"/>
      <c r="V389" s="3"/>
      <c r="W389" s="3"/>
      <c r="X389" s="2">
        <f t="shared" ref="X389" si="864">+S389+T389++U389+V389-W389</f>
        <v>45.68</v>
      </c>
      <c r="Y389" s="6">
        <f t="shared" ref="Y389" si="865">+Q389-X389</f>
        <v>6.5</v>
      </c>
      <c r="Z389" s="2"/>
      <c r="AA389" s="2"/>
      <c r="AB389" s="2"/>
      <c r="AC389" s="3"/>
      <c r="AD389" s="2"/>
      <c r="AE389" s="2"/>
      <c r="AF389" s="2"/>
      <c r="AG389" s="2"/>
      <c r="AH389" s="2" t="s">
        <v>6219</v>
      </c>
      <c r="AI389" s="2" t="s">
        <v>6218</v>
      </c>
      <c r="AJ389" s="2"/>
      <c r="AK389" s="2"/>
      <c r="AL389" s="2" t="s">
        <v>6374</v>
      </c>
      <c r="AM389" s="16" t="s">
        <v>6373</v>
      </c>
      <c r="AN389" s="2"/>
      <c r="AO389" s="2" t="s">
        <v>6372</v>
      </c>
      <c r="AP389" s="2" t="s">
        <v>5107</v>
      </c>
      <c r="AQ389" s="2"/>
      <c r="AR389" s="16" t="s">
        <v>4995</v>
      </c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</row>
    <row r="390" spans="3:58" ht="17.25" customHeight="1">
      <c r="C390" s="1">
        <v>43998</v>
      </c>
      <c r="E390" s="2" t="s">
        <v>3170</v>
      </c>
      <c r="F390" s="15"/>
      <c r="G390" s="2" t="s">
        <v>6213</v>
      </c>
      <c r="H390" s="2" t="s">
        <v>6212</v>
      </c>
      <c r="I390" s="2"/>
      <c r="J390" s="2">
        <v>1</v>
      </c>
      <c r="K390" s="2"/>
      <c r="L390" s="3">
        <v>84.5</v>
      </c>
      <c r="M390" s="3">
        <v>8.4499999999999993</v>
      </c>
      <c r="N390" s="3">
        <v>4.32</v>
      </c>
      <c r="O390" s="3">
        <v>6.97</v>
      </c>
      <c r="P390" s="3">
        <f>6.97-6.97</f>
        <v>0</v>
      </c>
      <c r="Q390" s="6">
        <f t="shared" si="863"/>
        <v>71.72999999999999</v>
      </c>
      <c r="R390" s="3"/>
      <c r="S390" s="3">
        <v>65.19</v>
      </c>
      <c r="T390" s="3">
        <v>5.38</v>
      </c>
      <c r="U390" s="3"/>
      <c r="V390" s="3"/>
      <c r="W390" s="3">
        <f>6.51+0.54</f>
        <v>7.05</v>
      </c>
      <c r="X390" s="2">
        <f t="shared" ref="X390" si="866">+S390+T390++U390+V390-W390</f>
        <v>63.519999999999996</v>
      </c>
      <c r="Y390" s="6">
        <f t="shared" ref="Y390" si="867">+Q390-X390</f>
        <v>8.2099999999999937</v>
      </c>
      <c r="Z390" s="2"/>
      <c r="AA390" s="2"/>
      <c r="AB390" s="2"/>
      <c r="AC390" s="3"/>
      <c r="AD390" s="2"/>
      <c r="AE390" s="2"/>
      <c r="AF390" s="2"/>
      <c r="AG390" s="2"/>
      <c r="AH390" s="2" t="s">
        <v>6215</v>
      </c>
      <c r="AI390" s="2" t="s">
        <v>6214</v>
      </c>
      <c r="AJ390" s="2"/>
      <c r="AK390" s="2"/>
      <c r="AL390" s="2" t="s">
        <v>6374</v>
      </c>
      <c r="AM390" s="16" t="s">
        <v>6554</v>
      </c>
      <c r="AN390" s="2"/>
      <c r="AO390" s="2" t="s">
        <v>6524</v>
      </c>
      <c r="AP390" s="2" t="s">
        <v>3696</v>
      </c>
      <c r="AQ390" s="2"/>
      <c r="AR390" s="16" t="s">
        <v>6525</v>
      </c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</row>
    <row r="391" spans="3:58" ht="17.25" customHeight="1">
      <c r="C391" s="1">
        <v>43998</v>
      </c>
      <c r="E391" s="2" t="s">
        <v>772</v>
      </c>
      <c r="F391" s="15"/>
      <c r="G391" s="2" t="s">
        <v>6206</v>
      </c>
      <c r="H391" s="2" t="s">
        <v>6205</v>
      </c>
      <c r="I391" s="2"/>
      <c r="J391" s="2">
        <v>1</v>
      </c>
      <c r="K391" s="2"/>
      <c r="L391" s="3">
        <v>35.85</v>
      </c>
      <c r="M391" s="3">
        <v>3.58</v>
      </c>
      <c r="N391" s="3">
        <v>1.98</v>
      </c>
      <c r="O391" s="3">
        <v>2.2400000000000002</v>
      </c>
      <c r="P391" s="3">
        <f>2.24-2.24</f>
        <v>0</v>
      </c>
      <c r="Q391" s="6">
        <f t="shared" ref="Q391" si="868">+L391-M391-N391+P391</f>
        <v>30.290000000000003</v>
      </c>
      <c r="R391" s="3"/>
      <c r="S391" s="3">
        <v>18.989999999999998</v>
      </c>
      <c r="T391" s="3">
        <v>1.19</v>
      </c>
      <c r="U391" s="3"/>
      <c r="V391" s="3"/>
      <c r="W391" s="3"/>
      <c r="X391" s="2">
        <f t="shared" ref="X391" si="869">+S391+T391++U391+V391-W391</f>
        <v>20.18</v>
      </c>
      <c r="Y391" s="6">
        <f t="shared" ref="Y391" si="870">+Q391-X391</f>
        <v>10.110000000000003</v>
      </c>
      <c r="Z391" s="2"/>
      <c r="AA391" s="2"/>
      <c r="AB391" s="2"/>
      <c r="AC391" s="3"/>
      <c r="AD391" s="2"/>
      <c r="AE391" s="2"/>
      <c r="AF391" s="2"/>
      <c r="AG391" s="2"/>
      <c r="AH391" s="2" t="s">
        <v>6208</v>
      </c>
      <c r="AI391" s="2" t="s">
        <v>6207</v>
      </c>
      <c r="AJ391" s="2"/>
      <c r="AK391" s="2"/>
      <c r="AL391" s="2" t="s">
        <v>5966</v>
      </c>
      <c r="AM391" s="2" t="s">
        <v>6254</v>
      </c>
      <c r="AN391" s="2"/>
      <c r="AO391" s="2" t="s">
        <v>6209</v>
      </c>
      <c r="AP391" s="2" t="s">
        <v>591</v>
      </c>
      <c r="AQ391" s="2"/>
      <c r="AR391" s="16" t="s">
        <v>6288</v>
      </c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</row>
    <row r="392" spans="3:58" ht="17.25" customHeight="1">
      <c r="C392" s="1">
        <v>43998</v>
      </c>
      <c r="E392" s="2" t="s">
        <v>4038</v>
      </c>
      <c r="F392" s="15"/>
      <c r="G392" s="2" t="s">
        <v>6199</v>
      </c>
      <c r="H392" s="2" t="s">
        <v>6198</v>
      </c>
      <c r="I392" s="2"/>
      <c r="J392" s="2">
        <v>1</v>
      </c>
      <c r="K392" s="2"/>
      <c r="L392" s="3">
        <v>32.75</v>
      </c>
      <c r="M392" s="3">
        <v>3.27</v>
      </c>
      <c r="N392" s="3">
        <v>1.74</v>
      </c>
      <c r="O392" s="3">
        <v>2.1</v>
      </c>
      <c r="P392" s="3">
        <f>2.1-2.1</f>
        <v>0</v>
      </c>
      <c r="Q392" s="6">
        <f t="shared" ref="Q392" si="871">+L392-M392-N392+P392</f>
        <v>27.740000000000002</v>
      </c>
      <c r="R392" s="3"/>
      <c r="S392" s="3">
        <v>16.95</v>
      </c>
      <c r="T392" s="3">
        <v>0</v>
      </c>
      <c r="U392" s="3">
        <v>4.99</v>
      </c>
      <c r="V392" s="3"/>
      <c r="W392" s="3">
        <v>0</v>
      </c>
      <c r="X392" s="2">
        <f t="shared" ref="X392" si="872">+S392+T392++U392+V392-W392</f>
        <v>21.939999999999998</v>
      </c>
      <c r="Y392" s="6">
        <f t="shared" ref="Y392:Y393" si="873">+Q392-X392</f>
        <v>5.8000000000000043</v>
      </c>
      <c r="Z392" s="2"/>
      <c r="AA392" s="2"/>
      <c r="AB392" s="2"/>
      <c r="AC392" s="3"/>
      <c r="AD392" s="2"/>
      <c r="AE392" s="2"/>
      <c r="AF392" s="2"/>
      <c r="AG392" s="2"/>
      <c r="AH392" s="2" t="s">
        <v>6201</v>
      </c>
      <c r="AI392" s="2" t="s">
        <v>6200</v>
      </c>
      <c r="AJ392" s="2"/>
      <c r="AK392" s="2"/>
      <c r="AL392" s="2" t="s">
        <v>6348</v>
      </c>
      <c r="AM392" s="2" t="s">
        <v>6347</v>
      </c>
      <c r="AN392" s="2"/>
      <c r="AO392" s="2" t="s">
        <v>6278</v>
      </c>
      <c r="AP392" s="2" t="s">
        <v>2128</v>
      </c>
      <c r="AQ392" s="2"/>
      <c r="AR392" s="16" t="s">
        <v>6346</v>
      </c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</row>
    <row r="393" spans="3:58" ht="17.25" customHeight="1">
      <c r="C393" s="1">
        <v>43998</v>
      </c>
      <c r="E393" s="2" t="s">
        <v>1922</v>
      </c>
      <c r="F393" s="15"/>
      <c r="G393" s="2" t="s">
        <v>6195</v>
      </c>
      <c r="H393" s="2" t="s">
        <v>6194</v>
      </c>
      <c r="I393" s="2"/>
      <c r="J393" s="2">
        <v>1</v>
      </c>
      <c r="K393" s="2"/>
      <c r="L393" s="3">
        <v>23.35</v>
      </c>
      <c r="M393" s="3">
        <v>2.33</v>
      </c>
      <c r="N393" s="3">
        <v>1.39</v>
      </c>
      <c r="O393" s="3">
        <v>1.4</v>
      </c>
      <c r="P393" s="3">
        <f>1.4-1.4</f>
        <v>0</v>
      </c>
      <c r="Q393" s="6">
        <f t="shared" ref="Q393" si="874">+L393-M393-N393+P393</f>
        <v>19.630000000000003</v>
      </c>
      <c r="R393" s="3"/>
      <c r="S393" s="3">
        <v>12.99</v>
      </c>
      <c r="T393" s="3">
        <v>0.79</v>
      </c>
      <c r="U393" s="3"/>
      <c r="V393" s="3"/>
      <c r="W393" s="3"/>
      <c r="X393" s="3">
        <f t="shared" ref="X393" si="875">+S393+T393++U393+V393-W393</f>
        <v>13.780000000000001</v>
      </c>
      <c r="Y393" s="6">
        <f t="shared" si="873"/>
        <v>5.8500000000000014</v>
      </c>
      <c r="Z393" s="6">
        <f>SUM(Y388:Y393)</f>
        <v>40.170000000000009</v>
      </c>
      <c r="AA393" s="2"/>
      <c r="AB393" s="2"/>
      <c r="AC393" s="3"/>
      <c r="AD393" s="2"/>
      <c r="AE393" s="2"/>
      <c r="AF393" s="2"/>
      <c r="AG393" s="2"/>
      <c r="AH393" s="2" t="s">
        <v>6197</v>
      </c>
      <c r="AI393" s="2" t="s">
        <v>6196</v>
      </c>
      <c r="AJ393" s="2"/>
      <c r="AK393" s="2"/>
      <c r="AL393" s="2" t="s">
        <v>5970</v>
      </c>
      <c r="AM393" s="16" t="s">
        <v>6329</v>
      </c>
      <c r="AN393" s="2"/>
      <c r="AO393" s="2" t="s">
        <v>6267</v>
      </c>
      <c r="AP393" s="2" t="s">
        <v>591</v>
      </c>
      <c r="AQ393" s="2"/>
      <c r="AR393" s="16" t="s">
        <v>6268</v>
      </c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</row>
    <row r="394" spans="3:58" ht="17.25" customHeight="1">
      <c r="C394" s="1">
        <v>43997</v>
      </c>
      <c r="E394" s="2" t="s">
        <v>6062</v>
      </c>
      <c r="F394" s="15"/>
      <c r="G394" s="2" t="s">
        <v>6949</v>
      </c>
      <c r="H394" s="2" t="s">
        <v>6188</v>
      </c>
      <c r="I394" s="2"/>
      <c r="J394" s="2">
        <v>1</v>
      </c>
      <c r="K394" s="2"/>
      <c r="L394" s="3">
        <v>33.5</v>
      </c>
      <c r="M394" s="3">
        <v>3.35</v>
      </c>
      <c r="N394" s="3">
        <v>1.9</v>
      </c>
      <c r="O394" s="3">
        <v>2.76</v>
      </c>
      <c r="P394" s="3">
        <f>2.76-2.76</f>
        <v>0</v>
      </c>
      <c r="Q394" s="6">
        <f t="shared" ref="Q394" si="876">+L394-M394-N394+P394</f>
        <v>28.25</v>
      </c>
      <c r="R394" s="3"/>
      <c r="S394" s="3">
        <v>19.989999999999998</v>
      </c>
      <c r="T394" s="3">
        <v>1.65</v>
      </c>
      <c r="U394" s="3"/>
      <c r="V394" s="3"/>
      <c r="W394" s="3"/>
      <c r="X394" s="2">
        <f t="shared" ref="X394" si="877">+S394+T394++U394+V394-W394</f>
        <v>21.639999999999997</v>
      </c>
      <c r="Y394" s="6">
        <f t="shared" ref="Y394" si="878">+Q394-X394</f>
        <v>6.610000000000003</v>
      </c>
      <c r="Z394" s="2"/>
      <c r="AA394" s="2"/>
      <c r="AB394" s="2"/>
      <c r="AC394" s="3"/>
      <c r="AD394" s="2"/>
      <c r="AE394" s="2"/>
      <c r="AF394" s="2"/>
      <c r="AG394" s="2"/>
      <c r="AH394" s="2" t="s">
        <v>6190</v>
      </c>
      <c r="AI394" s="2" t="s">
        <v>6189</v>
      </c>
      <c r="AJ394" s="2"/>
      <c r="AK394" s="2"/>
      <c r="AL394" s="2" t="s">
        <v>5966</v>
      </c>
      <c r="AM394" s="2" t="s">
        <v>6327</v>
      </c>
      <c r="AN394" s="2"/>
      <c r="AO394" s="2" t="s">
        <v>6266</v>
      </c>
      <c r="AP394" s="2" t="s">
        <v>591</v>
      </c>
      <c r="AQ394" s="2"/>
      <c r="AR394" s="16" t="s">
        <v>6332</v>
      </c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</row>
    <row r="395" spans="3:58" ht="17.25" customHeight="1">
      <c r="C395" s="1">
        <v>43997</v>
      </c>
      <c r="E395" s="2" t="s">
        <v>5754</v>
      </c>
      <c r="F395" s="15"/>
      <c r="G395" s="2" t="s">
        <v>6171</v>
      </c>
      <c r="H395" s="2" t="s">
        <v>6170</v>
      </c>
      <c r="I395" s="2"/>
      <c r="J395" s="2">
        <v>1</v>
      </c>
      <c r="K395" s="2"/>
      <c r="L395" s="3">
        <v>62.95</v>
      </c>
      <c r="M395" s="3">
        <v>6.29</v>
      </c>
      <c r="N395" s="3">
        <v>3.25</v>
      </c>
      <c r="O395" s="3">
        <v>5.1100000000000003</v>
      </c>
      <c r="P395" s="3">
        <f>5.11-5.11</f>
        <v>0</v>
      </c>
      <c r="Q395" s="6">
        <f t="shared" ref="Q395:Q396" si="879">+L395-M395-N395+P395</f>
        <v>53.410000000000004</v>
      </c>
      <c r="R395" s="3"/>
      <c r="S395" s="3">
        <v>43.48</v>
      </c>
      <c r="T395" s="3">
        <v>3.59</v>
      </c>
      <c r="U395" s="3"/>
      <c r="V395" s="3"/>
      <c r="W395" s="3"/>
      <c r="X395" s="2">
        <f t="shared" ref="X395" si="880">+S395+T395++U395+V395-W395</f>
        <v>47.069999999999993</v>
      </c>
      <c r="Y395" s="6">
        <f t="shared" ref="Y395" si="881">+Q395-X395</f>
        <v>6.3400000000000105</v>
      </c>
      <c r="Z395" s="2"/>
      <c r="AA395" s="2"/>
      <c r="AB395" s="2"/>
      <c r="AC395" s="3"/>
      <c r="AD395" s="2"/>
      <c r="AE395" s="2"/>
      <c r="AF395" s="2"/>
      <c r="AG395" s="2"/>
      <c r="AH395" s="2" t="s">
        <v>6173</v>
      </c>
      <c r="AI395" s="2" t="s">
        <v>6172</v>
      </c>
      <c r="AJ395" s="2"/>
      <c r="AK395" s="2"/>
      <c r="AL395" s="2" t="s">
        <v>5970</v>
      </c>
      <c r="AM395" s="16" t="s">
        <v>6257</v>
      </c>
      <c r="AN395" s="2"/>
      <c r="AO395" s="2" t="s">
        <v>6174</v>
      </c>
      <c r="AP395" s="2" t="s">
        <v>6043</v>
      </c>
      <c r="AQ395" s="2"/>
      <c r="AR395" s="16" t="s">
        <v>4544</v>
      </c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</row>
    <row r="396" spans="3:58" ht="17.25" customHeight="1">
      <c r="C396" s="1">
        <v>43997</v>
      </c>
      <c r="E396" s="2" t="s">
        <v>6150</v>
      </c>
      <c r="F396" s="15"/>
      <c r="G396" s="2" t="s">
        <v>6160</v>
      </c>
      <c r="H396" s="2" t="s">
        <v>6159</v>
      </c>
      <c r="I396" s="2"/>
      <c r="J396" s="2">
        <v>1</v>
      </c>
      <c r="K396" s="2"/>
      <c r="L396" s="3">
        <v>83.5</v>
      </c>
      <c r="M396" s="3">
        <v>8.35</v>
      </c>
      <c r="N396" s="3">
        <v>4.32</v>
      </c>
      <c r="O396" s="3">
        <v>7.93</v>
      </c>
      <c r="P396" s="3">
        <f>7.93-7.93</f>
        <v>0</v>
      </c>
      <c r="Q396" s="6">
        <f t="shared" si="879"/>
        <v>70.830000000000013</v>
      </c>
      <c r="R396" s="3"/>
      <c r="S396" s="3">
        <v>65.19</v>
      </c>
      <c r="T396" s="3">
        <v>6.19</v>
      </c>
      <c r="U396" s="3"/>
      <c r="V396" s="3"/>
      <c r="W396" s="3">
        <f>6.51</f>
        <v>6.51</v>
      </c>
      <c r="X396" s="2">
        <f t="shared" ref="X396" si="882">+S396+T396++U396+V396-W396</f>
        <v>64.86999999999999</v>
      </c>
      <c r="Y396" s="6">
        <f t="shared" ref="Y396" si="883">+Q396-X396</f>
        <v>5.9600000000000222</v>
      </c>
      <c r="Z396" s="2"/>
      <c r="AA396" s="2"/>
      <c r="AB396" s="2"/>
      <c r="AC396" s="3"/>
      <c r="AD396" s="2"/>
      <c r="AE396" s="2"/>
      <c r="AF396" s="2"/>
      <c r="AG396" s="2"/>
      <c r="AH396" s="2" t="s">
        <v>6162</v>
      </c>
      <c r="AI396" s="2" t="s">
        <v>6161</v>
      </c>
      <c r="AJ396" s="2"/>
      <c r="AK396" s="2"/>
      <c r="AL396" s="2" t="s">
        <v>6374</v>
      </c>
      <c r="AM396" s="16" t="s">
        <v>6458</v>
      </c>
      <c r="AN396" s="2"/>
      <c r="AO396" s="2" t="s">
        <v>6438</v>
      </c>
      <c r="AP396" s="2" t="s">
        <v>3696</v>
      </c>
      <c r="AQ396" s="2"/>
      <c r="AR396" s="16" t="s">
        <v>6436</v>
      </c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</row>
    <row r="397" spans="3:58" ht="17.25" customHeight="1">
      <c r="C397" s="1">
        <v>43997</v>
      </c>
      <c r="E397" s="2" t="s">
        <v>6149</v>
      </c>
      <c r="F397" s="15"/>
      <c r="G397" s="2" t="s">
        <v>6152</v>
      </c>
      <c r="H397" s="2" t="s">
        <v>6151</v>
      </c>
      <c r="I397" s="2"/>
      <c r="J397" s="2">
        <v>1</v>
      </c>
      <c r="K397" s="2"/>
      <c r="L397" s="3">
        <v>83.5</v>
      </c>
      <c r="M397" s="3">
        <v>8.35</v>
      </c>
      <c r="N397" s="3">
        <v>4.2699999999999996</v>
      </c>
      <c r="O397" s="3">
        <v>6.7</v>
      </c>
      <c r="P397" s="3">
        <f>6.7-6.7</f>
        <v>0</v>
      </c>
      <c r="Q397" s="6">
        <f t="shared" ref="Q397" si="884">+L397-M397-N397+P397</f>
        <v>70.88000000000001</v>
      </c>
      <c r="R397" s="3"/>
      <c r="S397" s="3">
        <v>65.19</v>
      </c>
      <c r="T397" s="3">
        <v>5.23</v>
      </c>
      <c r="U397" s="3"/>
      <c r="V397" s="3"/>
      <c r="W397" s="3">
        <f>6.51</f>
        <v>6.51</v>
      </c>
      <c r="X397" s="2">
        <f t="shared" ref="X397" si="885">+S397+T397++U397+V397-W397</f>
        <v>63.910000000000004</v>
      </c>
      <c r="Y397" s="6">
        <f t="shared" ref="Y397" si="886">+Q397-X397</f>
        <v>6.970000000000006</v>
      </c>
      <c r="Z397" s="2"/>
      <c r="AA397" s="2"/>
      <c r="AB397" s="2"/>
      <c r="AC397" s="3"/>
      <c r="AD397" s="2"/>
      <c r="AE397" s="2"/>
      <c r="AF397" s="2"/>
      <c r="AG397" s="2"/>
      <c r="AH397" s="2" t="s">
        <v>6156</v>
      </c>
      <c r="AI397" s="2" t="s">
        <v>6155</v>
      </c>
      <c r="AJ397" s="2"/>
      <c r="AK397" s="2"/>
      <c r="AL397" s="2" t="s">
        <v>6374</v>
      </c>
      <c r="AM397" s="16" t="s">
        <v>6460</v>
      </c>
      <c r="AN397" s="2"/>
      <c r="AO397" s="2" t="s">
        <v>6437</v>
      </c>
      <c r="AP397" s="2" t="s">
        <v>3696</v>
      </c>
      <c r="AQ397" s="2"/>
      <c r="AR397" s="16" t="s">
        <v>6436</v>
      </c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</row>
    <row r="398" spans="3:58" ht="17.25" customHeight="1">
      <c r="C398" s="1">
        <v>43997</v>
      </c>
      <c r="E398" s="2" t="s">
        <v>6143</v>
      </c>
      <c r="F398" s="15"/>
      <c r="G398" s="2" t="s">
        <v>6158</v>
      </c>
      <c r="H398" s="2" t="s">
        <v>6157</v>
      </c>
      <c r="I398" s="2"/>
      <c r="J398" s="2">
        <v>1</v>
      </c>
      <c r="K398" s="2"/>
      <c r="L398" s="3">
        <v>83.5</v>
      </c>
      <c r="M398" s="3">
        <v>8.35</v>
      </c>
      <c r="N398" s="3">
        <v>4.32</v>
      </c>
      <c r="O398" s="3">
        <v>7.93</v>
      </c>
      <c r="P398" s="3">
        <f>7.93-7.93</f>
        <v>0</v>
      </c>
      <c r="Q398" s="6">
        <f t="shared" ref="Q398" si="887">+L398-M398-N398+P398</f>
        <v>70.830000000000013</v>
      </c>
      <c r="R398" s="3"/>
      <c r="S398" s="3">
        <v>65.19</v>
      </c>
      <c r="T398" s="3">
        <v>6.19</v>
      </c>
      <c r="U398" s="3"/>
      <c r="V398" s="3"/>
      <c r="W398" s="3">
        <f>6.51</f>
        <v>6.51</v>
      </c>
      <c r="X398" s="2">
        <f t="shared" ref="X398" si="888">+S398+T398++U398+V398-W398</f>
        <v>64.86999999999999</v>
      </c>
      <c r="Y398" s="6">
        <f t="shared" ref="Y398" si="889">+Q398-X398</f>
        <v>5.9600000000000222</v>
      </c>
      <c r="Z398" s="6">
        <f>SUM(Y394:Y398)</f>
        <v>31.840000000000064</v>
      </c>
      <c r="AA398" s="2"/>
      <c r="AB398" s="2"/>
      <c r="AC398" s="3"/>
      <c r="AD398" s="2"/>
      <c r="AE398" s="2"/>
      <c r="AF398" s="2"/>
      <c r="AG398" s="2"/>
      <c r="AH398" s="2" t="s">
        <v>6154</v>
      </c>
      <c r="AI398" s="2" t="s">
        <v>6153</v>
      </c>
      <c r="AJ398" s="2"/>
      <c r="AK398" s="2"/>
      <c r="AL398" s="2" t="s">
        <v>6374</v>
      </c>
      <c r="AM398" s="16" t="s">
        <v>6459</v>
      </c>
      <c r="AN398" s="2"/>
      <c r="AO398" s="2" t="s">
        <v>6435</v>
      </c>
      <c r="AP398" s="2" t="s">
        <v>3696</v>
      </c>
      <c r="AQ398" s="2"/>
      <c r="AR398" s="16" t="s">
        <v>6436</v>
      </c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</row>
    <row r="399" spans="3:58" ht="17.25" customHeight="1">
      <c r="C399" s="1">
        <v>43996</v>
      </c>
      <c r="E399" s="2" t="s">
        <v>772</v>
      </c>
      <c r="F399" s="15"/>
      <c r="G399" s="2" t="s">
        <v>6130</v>
      </c>
      <c r="H399" s="2" t="s">
        <v>6129</v>
      </c>
      <c r="I399" s="2"/>
      <c r="J399" s="2">
        <v>2</v>
      </c>
      <c r="K399" s="2"/>
      <c r="L399" s="3">
        <v>71.7</v>
      </c>
      <c r="M399" s="3">
        <v>7.17</v>
      </c>
      <c r="N399" s="3">
        <v>3.73</v>
      </c>
      <c r="O399" s="3">
        <v>6.7</v>
      </c>
      <c r="P399" s="3">
        <f>6.7-6.7</f>
        <v>0</v>
      </c>
      <c r="Q399" s="6">
        <f t="shared" ref="Q399" si="890">+L399-M399-N399+P399</f>
        <v>60.800000000000004</v>
      </c>
      <c r="R399" s="3"/>
      <c r="S399" s="3">
        <v>39.78</v>
      </c>
      <c r="T399" s="3">
        <v>3.38</v>
      </c>
      <c r="U399" s="3"/>
      <c r="V399" s="3"/>
      <c r="W399" s="3"/>
      <c r="X399" s="2">
        <f t="shared" ref="X399" si="891">+S399+T399++U399+V399-W399</f>
        <v>43.160000000000004</v>
      </c>
      <c r="Y399" s="6">
        <f t="shared" ref="Y399" si="892">+Q399-X399</f>
        <v>17.64</v>
      </c>
      <c r="Z399" s="2"/>
      <c r="AA399" s="2"/>
      <c r="AB399" s="2"/>
      <c r="AC399" s="3"/>
      <c r="AD399" s="2"/>
      <c r="AE399" s="2"/>
      <c r="AF399" s="2"/>
      <c r="AG399" s="2"/>
      <c r="AH399" s="2" t="s">
        <v>6132</v>
      </c>
      <c r="AI399" s="2" t="s">
        <v>6131</v>
      </c>
      <c r="AJ399" s="2"/>
      <c r="AK399" s="2"/>
      <c r="AL399" s="2" t="s">
        <v>5970</v>
      </c>
      <c r="AM399" s="16" t="s">
        <v>6183</v>
      </c>
      <c r="AN399" s="2"/>
      <c r="AO399" s="2" t="s">
        <v>6135</v>
      </c>
      <c r="AP399" s="2" t="s">
        <v>591</v>
      </c>
      <c r="AQ399" s="2"/>
      <c r="AR399" s="16" t="s">
        <v>4544</v>
      </c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</row>
    <row r="400" spans="3:58" ht="17.25" customHeight="1">
      <c r="C400" s="1">
        <v>43996</v>
      </c>
      <c r="E400" s="2" t="s">
        <v>6115</v>
      </c>
      <c r="F400" s="15"/>
      <c r="G400" s="2" t="s">
        <v>6118</v>
      </c>
      <c r="H400" s="2" t="s">
        <v>6117</v>
      </c>
      <c r="I400" s="2"/>
      <c r="J400" s="2">
        <v>1</v>
      </c>
      <c r="K400" s="2"/>
      <c r="L400" s="3">
        <v>41.95</v>
      </c>
      <c r="M400" s="3">
        <v>4.1900000000000004</v>
      </c>
      <c r="N400" s="3">
        <v>2.2799999999999998</v>
      </c>
      <c r="O400" s="3">
        <v>3.04</v>
      </c>
      <c r="P400" s="3">
        <f>3.04-3.04</f>
        <v>0</v>
      </c>
      <c r="Q400" s="6">
        <f t="shared" ref="Q400:Q401" si="893">+L400-M400-N400+P400</f>
        <v>35.480000000000004</v>
      </c>
      <c r="R400" s="3"/>
      <c r="S400" s="3">
        <v>26.28</v>
      </c>
      <c r="T400" s="3">
        <v>1.91</v>
      </c>
      <c r="U400" s="3"/>
      <c r="V400" s="3"/>
      <c r="W400" s="3"/>
      <c r="X400" s="3">
        <f t="shared" ref="X400" si="894">+S400+T400++U400+V400-W400</f>
        <v>28.19</v>
      </c>
      <c r="Y400" s="6">
        <f t="shared" ref="Y400" si="895">+Q400-X400</f>
        <v>7.2900000000000027</v>
      </c>
      <c r="Z400" s="2"/>
      <c r="AA400" s="2"/>
      <c r="AB400" s="2"/>
      <c r="AC400" s="3"/>
      <c r="AD400" s="2"/>
      <c r="AE400" s="2"/>
      <c r="AF400" s="2"/>
      <c r="AG400" s="2"/>
      <c r="AH400" s="2" t="s">
        <v>6120</v>
      </c>
      <c r="AI400" s="2" t="s">
        <v>6119</v>
      </c>
      <c r="AJ400" s="2"/>
      <c r="AK400" s="2"/>
      <c r="AL400" s="2" t="s">
        <v>2926</v>
      </c>
      <c r="AM400" s="16" t="s">
        <v>6386</v>
      </c>
      <c r="AN400" s="2"/>
      <c r="AO400" s="2" t="s">
        <v>6136</v>
      </c>
      <c r="AP400" s="2" t="s">
        <v>5490</v>
      </c>
      <c r="AQ400" s="2"/>
      <c r="AR400" s="16" t="s">
        <v>6137</v>
      </c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</row>
    <row r="401" spans="3:58" ht="17.25" customHeight="1">
      <c r="C401" s="1">
        <v>43996</v>
      </c>
      <c r="E401" s="2" t="s">
        <v>1922</v>
      </c>
      <c r="F401" s="15"/>
      <c r="G401" s="2" t="s">
        <v>6202</v>
      </c>
      <c r="H401" s="2" t="s">
        <v>6290</v>
      </c>
      <c r="I401" s="2"/>
      <c r="J401" s="2">
        <v>1</v>
      </c>
      <c r="K401" s="2"/>
      <c r="L401" s="3">
        <v>23.35</v>
      </c>
      <c r="M401" s="3">
        <v>2.33</v>
      </c>
      <c r="N401" s="3">
        <v>1.4</v>
      </c>
      <c r="O401" s="3">
        <v>1.75</v>
      </c>
      <c r="P401" s="3">
        <f>1.75-1.75</f>
        <v>0</v>
      </c>
      <c r="Q401" s="6">
        <f t="shared" si="893"/>
        <v>19.620000000000005</v>
      </c>
      <c r="R401" s="3"/>
      <c r="S401" s="3">
        <v>12.99</v>
      </c>
      <c r="T401" s="3">
        <v>0.97</v>
      </c>
      <c r="U401" s="3"/>
      <c r="V401" s="3"/>
      <c r="W401" s="3"/>
      <c r="X401" s="3">
        <f t="shared" ref="X401" si="896">+S401+T401++U401+V401-W401</f>
        <v>13.96</v>
      </c>
      <c r="Y401" s="6">
        <f t="shared" ref="Y401" si="897">+Q401-X401</f>
        <v>5.6600000000000037</v>
      </c>
      <c r="Z401" s="2"/>
      <c r="AA401" s="2"/>
      <c r="AB401" s="2"/>
      <c r="AC401" s="3"/>
      <c r="AD401" s="2"/>
      <c r="AE401" s="2"/>
      <c r="AF401" s="2"/>
      <c r="AG401" s="2"/>
      <c r="AH401" s="2" t="s">
        <v>6103</v>
      </c>
      <c r="AI401" s="2" t="s">
        <v>6102</v>
      </c>
      <c r="AJ401" s="2"/>
      <c r="AK401" s="2"/>
      <c r="AL401" s="2" t="s">
        <v>5966</v>
      </c>
      <c r="AM401" s="2" t="s">
        <v>6192</v>
      </c>
      <c r="AN401" s="2"/>
      <c r="AO401" s="2" t="s">
        <v>6124</v>
      </c>
      <c r="AP401" s="2" t="s">
        <v>591</v>
      </c>
      <c r="AQ401" s="2"/>
      <c r="AR401" s="16" t="s">
        <v>6193</v>
      </c>
      <c r="AS401" s="2"/>
      <c r="AT401" s="2"/>
      <c r="AU401" s="2" t="s">
        <v>6291</v>
      </c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</row>
    <row r="402" spans="3:58" ht="17.25" customHeight="1">
      <c r="C402" s="1">
        <v>43996</v>
      </c>
      <c r="E402" s="2" t="s">
        <v>6101</v>
      </c>
      <c r="F402" s="15"/>
      <c r="G402" s="2" t="s">
        <v>6104</v>
      </c>
      <c r="H402" s="2" t="s">
        <v>6107</v>
      </c>
      <c r="I402" s="2"/>
      <c r="J402" s="2">
        <v>0</v>
      </c>
      <c r="K402" s="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2"/>
      <c r="AA402" s="2"/>
      <c r="AB402" s="2"/>
      <c r="AC402" s="3"/>
      <c r="AD402" s="2"/>
      <c r="AE402" s="2"/>
      <c r="AF402" s="2"/>
      <c r="AG402" s="2"/>
      <c r="AH402" s="2" t="s">
        <v>6106</v>
      </c>
      <c r="AI402" s="2" t="s">
        <v>6105</v>
      </c>
      <c r="AJ402" s="2"/>
      <c r="AK402" s="2"/>
      <c r="AL402" s="2"/>
      <c r="AM402" s="2"/>
      <c r="AN402" s="2"/>
      <c r="AO402" s="5" t="s">
        <v>6114</v>
      </c>
      <c r="AP402" s="5" t="s">
        <v>6114</v>
      </c>
      <c r="AQ402" s="5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</row>
    <row r="403" spans="3:58" ht="17.25" customHeight="1">
      <c r="C403" s="1">
        <v>43996</v>
      </c>
      <c r="E403" s="2" t="s">
        <v>6062</v>
      </c>
      <c r="F403" s="15"/>
      <c r="G403" s="2" t="s">
        <v>6792</v>
      </c>
      <c r="H403" s="2" t="s">
        <v>6094</v>
      </c>
      <c r="I403" s="2"/>
      <c r="J403" s="2">
        <v>1</v>
      </c>
      <c r="K403" s="2"/>
      <c r="L403" s="3">
        <v>33.5</v>
      </c>
      <c r="M403" s="3">
        <v>3.35</v>
      </c>
      <c r="N403" s="3">
        <v>1.88</v>
      </c>
      <c r="O403" s="3">
        <v>2.52</v>
      </c>
      <c r="P403" s="3">
        <f>2.52-2.52</f>
        <v>0</v>
      </c>
      <c r="Q403" s="6">
        <f t="shared" ref="Q403:Q405" si="898">+L403-M403-N403+P403</f>
        <v>28.27</v>
      </c>
      <c r="R403" s="3"/>
      <c r="S403" s="3">
        <v>18.2</v>
      </c>
      <c r="T403" s="3">
        <v>1.37</v>
      </c>
      <c r="U403" s="3"/>
      <c r="V403" s="3"/>
      <c r="W403" s="3"/>
      <c r="X403" s="2">
        <f t="shared" ref="X403" si="899">+S403+T403++U403+V403-W403</f>
        <v>19.57</v>
      </c>
      <c r="Y403" s="6">
        <f t="shared" ref="Y403" si="900">+Q403-X403</f>
        <v>8.6999999999999993</v>
      </c>
      <c r="Z403" s="2"/>
      <c r="AA403" s="2"/>
      <c r="AB403" s="2"/>
      <c r="AC403" s="3"/>
      <c r="AD403" s="2"/>
      <c r="AE403" s="2"/>
      <c r="AF403" s="2"/>
      <c r="AG403" s="2"/>
      <c r="AH403" s="2" t="s">
        <v>6096</v>
      </c>
      <c r="AI403" s="2" t="s">
        <v>6095</v>
      </c>
      <c r="AJ403" s="2"/>
      <c r="AK403" s="2"/>
      <c r="AL403" s="2" t="s">
        <v>5966</v>
      </c>
      <c r="AM403" s="2" t="s">
        <v>6255</v>
      </c>
      <c r="AN403" s="2"/>
      <c r="AO403" s="2" t="s">
        <v>6169</v>
      </c>
      <c r="AP403" s="2" t="s">
        <v>591</v>
      </c>
      <c r="AQ403" s="2"/>
      <c r="AR403" s="16" t="s">
        <v>5989</v>
      </c>
      <c r="AS403" s="16" t="s">
        <v>6256</v>
      </c>
      <c r="AT403" s="2" t="s">
        <v>6870</v>
      </c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</row>
    <row r="404" spans="3:58" ht="17.25" customHeight="1">
      <c r="C404" s="1">
        <v>43996</v>
      </c>
      <c r="E404" s="2" t="s">
        <v>6061</v>
      </c>
      <c r="F404" s="15"/>
      <c r="G404" s="2" t="s">
        <v>6098</v>
      </c>
      <c r="H404" s="2" t="s">
        <v>6097</v>
      </c>
      <c r="I404" s="2"/>
      <c r="J404" s="2">
        <v>1</v>
      </c>
      <c r="K404" s="2"/>
      <c r="L404" s="3">
        <v>31.75</v>
      </c>
      <c r="M404" s="3">
        <v>3.17</v>
      </c>
      <c r="N404" s="3">
        <v>1.8</v>
      </c>
      <c r="O404" s="3">
        <v>2.2999999999999998</v>
      </c>
      <c r="P404" s="3">
        <f>2.3-2.3</f>
        <v>0</v>
      </c>
      <c r="Q404" s="6">
        <f t="shared" si="898"/>
        <v>26.779999999999998</v>
      </c>
      <c r="R404" s="3"/>
      <c r="S404" s="3">
        <v>22.99</v>
      </c>
      <c r="T404" s="3">
        <v>1.67</v>
      </c>
      <c r="U404" s="3"/>
      <c r="V404" s="3"/>
      <c r="W404" s="3"/>
      <c r="X404" s="2">
        <f t="shared" ref="X404" si="901">+S404+T404++U404+V404-W404</f>
        <v>24.659999999999997</v>
      </c>
      <c r="Y404" s="6">
        <f t="shared" ref="Y404" si="902">+Q404-X404</f>
        <v>2.120000000000001</v>
      </c>
      <c r="Z404" s="2"/>
      <c r="AA404" s="2"/>
      <c r="AB404" s="2"/>
      <c r="AC404" s="3"/>
      <c r="AD404" s="2"/>
      <c r="AE404" s="2"/>
      <c r="AF404" s="2"/>
      <c r="AG404" s="2"/>
      <c r="AH404" s="2" t="s">
        <v>6100</v>
      </c>
      <c r="AI404" s="2" t="s">
        <v>6099</v>
      </c>
      <c r="AJ404" s="2"/>
      <c r="AK404" s="2"/>
      <c r="AL404" s="2" t="s">
        <v>5970</v>
      </c>
      <c r="AM404" s="16" t="s">
        <v>6259</v>
      </c>
      <c r="AN404" s="2"/>
      <c r="AO404" s="2" t="s">
        <v>6210</v>
      </c>
      <c r="AP404" s="2" t="s">
        <v>6211</v>
      </c>
      <c r="AQ404" s="2"/>
      <c r="AR404" s="16" t="s">
        <v>6302</v>
      </c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</row>
    <row r="405" spans="3:58" ht="17.25" customHeight="1">
      <c r="C405" s="1">
        <v>43996</v>
      </c>
      <c r="E405" s="2" t="s">
        <v>5401</v>
      </c>
      <c r="F405" s="15"/>
      <c r="G405" s="2" t="s">
        <v>6091</v>
      </c>
      <c r="H405" s="2" t="s">
        <v>6123</v>
      </c>
      <c r="I405" s="2"/>
      <c r="J405" s="2">
        <v>1</v>
      </c>
      <c r="K405" s="2"/>
      <c r="L405" s="3">
        <v>23.99</v>
      </c>
      <c r="M405" s="3">
        <v>2.39</v>
      </c>
      <c r="N405" s="3">
        <v>1.36</v>
      </c>
      <c r="O405" s="3"/>
      <c r="P405" s="3">
        <v>0</v>
      </c>
      <c r="Q405" s="6">
        <f t="shared" si="898"/>
        <v>20.239999999999998</v>
      </c>
      <c r="R405" s="3"/>
      <c r="S405" s="3">
        <v>15.95</v>
      </c>
      <c r="T405" s="3">
        <v>1.83</v>
      </c>
      <c r="U405" s="3"/>
      <c r="V405" s="3"/>
      <c r="W405" s="3">
        <v>0</v>
      </c>
      <c r="X405" s="2">
        <f t="shared" ref="X405" si="903">+S405+T405++U405+V405-W405</f>
        <v>17.78</v>
      </c>
      <c r="Y405" s="6">
        <f t="shared" ref="Y405" si="904">+Q405-X405</f>
        <v>2.4599999999999973</v>
      </c>
      <c r="Z405" s="2"/>
      <c r="AA405" s="2"/>
      <c r="AB405" s="2"/>
      <c r="AC405" s="3"/>
      <c r="AD405" s="2"/>
      <c r="AE405" s="2"/>
      <c r="AF405" s="2"/>
      <c r="AG405" s="2"/>
      <c r="AH405" s="16" t="s">
        <v>6093</v>
      </c>
      <c r="AI405" s="2" t="s">
        <v>6092</v>
      </c>
      <c r="AJ405" s="2"/>
      <c r="AK405" s="2"/>
      <c r="AL405" s="2"/>
      <c r="AM405" s="2"/>
      <c r="AN405" s="2"/>
      <c r="AO405" s="5" t="s">
        <v>6114</v>
      </c>
      <c r="AP405" s="5" t="s">
        <v>6114</v>
      </c>
      <c r="AQ405" s="5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</row>
    <row r="406" spans="3:58" ht="17.25" customHeight="1">
      <c r="C406" s="1">
        <v>43996</v>
      </c>
      <c r="E406" s="2" t="s">
        <v>6046</v>
      </c>
      <c r="F406" s="15"/>
      <c r="G406" s="2" t="s">
        <v>6088</v>
      </c>
      <c r="H406" s="2" t="s">
        <v>6087</v>
      </c>
      <c r="I406" s="2"/>
      <c r="J406" s="2">
        <v>1</v>
      </c>
      <c r="K406" s="2"/>
      <c r="L406" s="3">
        <v>28.95</v>
      </c>
      <c r="M406" s="3">
        <v>2.89</v>
      </c>
      <c r="N406" s="3">
        <v>1.68</v>
      </c>
      <c r="O406" s="3">
        <v>2.39</v>
      </c>
      <c r="P406" s="3">
        <f>2.39-2.39</f>
        <v>0</v>
      </c>
      <c r="Q406" s="6">
        <f t="shared" ref="Q406" si="905">+L406-M406-N406+P406</f>
        <v>24.38</v>
      </c>
      <c r="R406" s="3"/>
      <c r="S406" s="3">
        <v>18.96</v>
      </c>
      <c r="T406" s="3">
        <v>1.57</v>
      </c>
      <c r="U406" s="3"/>
      <c r="V406" s="3"/>
      <c r="W406" s="3"/>
      <c r="X406" s="2">
        <f t="shared" ref="X406" si="906">+S406+T406++U406+V406-W406</f>
        <v>20.53</v>
      </c>
      <c r="Y406" s="6">
        <f t="shared" ref="Y406" si="907">+Q406-X406</f>
        <v>3.8499999999999979</v>
      </c>
      <c r="Z406" s="2"/>
      <c r="AA406" s="2"/>
      <c r="AB406" s="2"/>
      <c r="AC406" s="3"/>
      <c r="AD406" s="2"/>
      <c r="AE406" s="2"/>
      <c r="AF406" s="2"/>
      <c r="AG406" s="2"/>
      <c r="AH406" s="2" t="s">
        <v>6090</v>
      </c>
      <c r="AI406" s="2" t="s">
        <v>6089</v>
      </c>
      <c r="AJ406" s="2"/>
      <c r="AK406" s="2"/>
      <c r="AL406" s="2" t="s">
        <v>5970</v>
      </c>
      <c r="AM406" s="16" t="s">
        <v>6203</v>
      </c>
      <c r="AN406" s="2"/>
      <c r="AO406" s="2" t="s">
        <v>6168</v>
      </c>
      <c r="AP406" s="2" t="s">
        <v>6051</v>
      </c>
      <c r="AQ406" s="2"/>
      <c r="AR406" s="16" t="s">
        <v>5989</v>
      </c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</row>
    <row r="407" spans="3:58" ht="17.25" customHeight="1">
      <c r="C407" s="1">
        <v>43996</v>
      </c>
      <c r="E407" s="2" t="s">
        <v>6045</v>
      </c>
      <c r="F407" s="15"/>
      <c r="G407" s="2" t="s">
        <v>6084</v>
      </c>
      <c r="H407" s="2" t="s">
        <v>6083</v>
      </c>
      <c r="I407" s="2"/>
      <c r="J407" s="2">
        <v>1</v>
      </c>
      <c r="K407" s="2"/>
      <c r="L407" s="3">
        <v>31.65</v>
      </c>
      <c r="M407" s="3">
        <v>3.16</v>
      </c>
      <c r="N407" s="3">
        <v>1.82</v>
      </c>
      <c r="O407" s="3"/>
      <c r="P407" s="3">
        <v>2.85</v>
      </c>
      <c r="Q407" s="6">
        <f t="shared" ref="Q407" si="908">+L407-M407-N407+P407</f>
        <v>29.52</v>
      </c>
      <c r="R407" s="3"/>
      <c r="S407" s="3">
        <v>17.989999999999998</v>
      </c>
      <c r="T407" s="3">
        <v>1.62</v>
      </c>
      <c r="U407" s="3">
        <v>0</v>
      </c>
      <c r="V407" s="3"/>
      <c r="W407" s="3">
        <v>0</v>
      </c>
      <c r="X407" s="2">
        <f t="shared" ref="X407" si="909">+S407+T407++U407+V407-W407</f>
        <v>19.61</v>
      </c>
      <c r="Y407" s="6">
        <f t="shared" ref="Y407" si="910">+Q407-X407</f>
        <v>9.91</v>
      </c>
      <c r="Z407" s="2"/>
      <c r="AA407" s="2"/>
      <c r="AB407" s="2"/>
      <c r="AC407" s="3"/>
      <c r="AD407" s="2"/>
      <c r="AE407" s="2"/>
      <c r="AF407" s="2"/>
      <c r="AG407" s="2"/>
      <c r="AH407" s="2" t="s">
        <v>6086</v>
      </c>
      <c r="AI407" s="2" t="s">
        <v>6085</v>
      </c>
      <c r="AJ407" s="2"/>
      <c r="AK407" s="2"/>
      <c r="AL407" s="2" t="s">
        <v>5970</v>
      </c>
      <c r="AM407" s="16" t="s">
        <v>6301</v>
      </c>
      <c r="AN407" s="2"/>
      <c r="AO407" s="2" t="s">
        <v>6167</v>
      </c>
      <c r="AP407" s="2" t="s">
        <v>3685</v>
      </c>
      <c r="AQ407" s="2"/>
      <c r="AR407" s="16" t="s">
        <v>6166</v>
      </c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</row>
    <row r="408" spans="3:58" ht="17.25" customHeight="1">
      <c r="C408" s="1">
        <v>43996</v>
      </c>
      <c r="E408" s="2" t="s">
        <v>6044</v>
      </c>
      <c r="F408" s="15"/>
      <c r="G408" s="2" t="s">
        <v>6080</v>
      </c>
      <c r="H408" s="2" t="s">
        <v>6079</v>
      </c>
      <c r="I408" s="2"/>
      <c r="J408" s="2">
        <v>1</v>
      </c>
      <c r="K408" s="2"/>
      <c r="L408" s="3">
        <v>83.5</v>
      </c>
      <c r="M408" s="3">
        <v>8.35</v>
      </c>
      <c r="N408" s="3">
        <v>4.29</v>
      </c>
      <c r="O408" s="3">
        <v>7.1</v>
      </c>
      <c r="P408" s="3">
        <f>7.1-7.1</f>
        <v>0</v>
      </c>
      <c r="Q408" s="6">
        <f t="shared" ref="Q408:Q409" si="911">+L408-M408-N408+P408</f>
        <v>70.86</v>
      </c>
      <c r="R408" s="3"/>
      <c r="S408" s="3">
        <v>65.19</v>
      </c>
      <c r="T408" s="3">
        <v>5.54</v>
      </c>
      <c r="U408" s="3"/>
      <c r="V408" s="3"/>
      <c r="W408" s="3">
        <f>6.51</f>
        <v>6.51</v>
      </c>
      <c r="X408" s="2">
        <f t="shared" ref="X408:X409" si="912">+S408+T408++U408+V408-W408</f>
        <v>64.22</v>
      </c>
      <c r="Y408" s="6">
        <f t="shared" ref="Y408:Y409" si="913">+Q408-X408</f>
        <v>6.6400000000000006</v>
      </c>
      <c r="Z408" s="6">
        <f>SUM(Y398:Y408)</f>
        <v>70.230000000000018</v>
      </c>
      <c r="AA408" s="2"/>
      <c r="AB408" s="2"/>
      <c r="AC408" s="3"/>
      <c r="AD408" s="2"/>
      <c r="AE408" s="2"/>
      <c r="AF408" s="2"/>
      <c r="AG408" s="2"/>
      <c r="AH408" s="2" t="s">
        <v>6082</v>
      </c>
      <c r="AI408" s="2" t="s">
        <v>6081</v>
      </c>
      <c r="AJ408" s="2"/>
      <c r="AK408" s="2"/>
      <c r="AL408" s="2" t="s">
        <v>5996</v>
      </c>
      <c r="AM408" s="16" t="s">
        <v>6296</v>
      </c>
      <c r="AN408" s="2"/>
      <c r="AO408" s="2" t="s">
        <v>6285</v>
      </c>
      <c r="AP408" s="2" t="s">
        <v>3696</v>
      </c>
      <c r="AQ408" s="2"/>
      <c r="AR408" s="16" t="s">
        <v>6286</v>
      </c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</row>
    <row r="409" spans="3:58" ht="17.25" customHeight="1">
      <c r="C409" s="1">
        <v>43995</v>
      </c>
      <c r="E409" s="2" t="s">
        <v>6037</v>
      </c>
      <c r="F409" s="15"/>
      <c r="G409" s="2" t="s">
        <v>6076</v>
      </c>
      <c r="H409" s="2" t="s">
        <v>6073</v>
      </c>
      <c r="I409" s="2"/>
      <c r="J409" s="2">
        <v>1</v>
      </c>
      <c r="K409" s="2"/>
      <c r="L409" s="3">
        <v>59.5</v>
      </c>
      <c r="M409" s="3">
        <v>5.95</v>
      </c>
      <c r="N409" s="3">
        <v>3.09</v>
      </c>
      <c r="O409" s="3">
        <v>3.94</v>
      </c>
      <c r="P409" s="3">
        <f>3.94-3.94</f>
        <v>0</v>
      </c>
      <c r="Q409" s="6">
        <f t="shared" si="911"/>
        <v>50.459999999999994</v>
      </c>
      <c r="R409" s="3"/>
      <c r="S409" s="3">
        <v>48.95</v>
      </c>
      <c r="T409" s="3">
        <v>3.24</v>
      </c>
      <c r="U409" s="3"/>
      <c r="V409" s="3"/>
      <c r="W409" s="3"/>
      <c r="X409" s="2">
        <f t="shared" si="912"/>
        <v>52.190000000000005</v>
      </c>
      <c r="Y409" s="6">
        <f t="shared" si="913"/>
        <v>-1.7300000000000111</v>
      </c>
      <c r="Z409" s="2"/>
      <c r="AA409" s="2"/>
      <c r="AB409" s="2"/>
      <c r="AC409" s="3"/>
      <c r="AD409" s="2"/>
      <c r="AE409" s="2"/>
      <c r="AF409" s="2"/>
      <c r="AG409" s="2"/>
      <c r="AH409" s="2" t="s">
        <v>6078</v>
      </c>
      <c r="AI409" s="2" t="s">
        <v>6077</v>
      </c>
      <c r="AJ409" s="2"/>
      <c r="AK409" s="2"/>
      <c r="AL409" s="2" t="s">
        <v>5996</v>
      </c>
      <c r="AM409" s="16" t="s">
        <v>6139</v>
      </c>
      <c r="AN409" s="2"/>
      <c r="AO409" s="2" t="s">
        <v>6138</v>
      </c>
      <c r="AP409" s="2" t="s">
        <v>6052</v>
      </c>
      <c r="AQ409" s="2"/>
      <c r="AR409" s="16" t="s">
        <v>5989</v>
      </c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</row>
    <row r="410" spans="3:58" ht="17.25" customHeight="1">
      <c r="C410" s="1">
        <v>43995</v>
      </c>
      <c r="E410" s="2" t="s">
        <v>1657</v>
      </c>
      <c r="F410" s="15"/>
      <c r="G410" s="2" t="s">
        <v>6075</v>
      </c>
      <c r="H410" s="16" t="s">
        <v>6074</v>
      </c>
      <c r="I410" s="2"/>
      <c r="J410" s="2">
        <v>1</v>
      </c>
      <c r="K410" s="2"/>
      <c r="L410" s="3">
        <v>84.5</v>
      </c>
      <c r="M410" s="3">
        <v>8.4499999999999993</v>
      </c>
      <c r="N410" s="3">
        <v>4.34</v>
      </c>
      <c r="O410" s="3">
        <v>7.39</v>
      </c>
      <c r="P410" s="3">
        <f>7.39-7.39</f>
        <v>0</v>
      </c>
      <c r="Q410" s="6">
        <f t="shared" ref="Q410" si="914">+L410-M410-N410+P410</f>
        <v>71.709999999999994</v>
      </c>
      <c r="R410" s="3"/>
      <c r="S410" s="3">
        <v>65.19</v>
      </c>
      <c r="T410" s="3">
        <v>5.22</v>
      </c>
      <c r="U410" s="3"/>
      <c r="V410" s="3"/>
      <c r="W410" s="3">
        <f>6.51</f>
        <v>6.51</v>
      </c>
      <c r="X410" s="2">
        <f t="shared" ref="X410" si="915">+S410+T410++U410+V410-W410</f>
        <v>63.9</v>
      </c>
      <c r="Y410" s="6">
        <f t="shared" ref="Y410" si="916">+Q410-X410</f>
        <v>7.8099999999999952</v>
      </c>
      <c r="Z410" s="2"/>
      <c r="AA410" s="2"/>
      <c r="AB410" s="2"/>
      <c r="AC410" s="3"/>
      <c r="AD410" s="2"/>
      <c r="AE410" s="2"/>
      <c r="AF410" s="2"/>
      <c r="AG410" s="2"/>
      <c r="AH410" s="2" t="s">
        <v>6072</v>
      </c>
      <c r="AI410" s="2" t="s">
        <v>6071</v>
      </c>
      <c r="AJ410" s="2"/>
      <c r="AK410" s="2"/>
      <c r="AL410" s="2" t="s">
        <v>5996</v>
      </c>
      <c r="AM410" s="16" t="s">
        <v>6298</v>
      </c>
      <c r="AN410" s="2"/>
      <c r="AO410" s="2" t="s">
        <v>6252</v>
      </c>
      <c r="AP410" s="2" t="s">
        <v>3696</v>
      </c>
      <c r="AQ410" s="2"/>
      <c r="AR410" s="16" t="s">
        <v>6253</v>
      </c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</row>
    <row r="411" spans="3:58" ht="17.25" customHeight="1">
      <c r="C411" s="1">
        <v>43995</v>
      </c>
      <c r="E411" s="2" t="s">
        <v>1922</v>
      </c>
      <c r="F411" s="15"/>
      <c r="G411" s="2" t="s">
        <v>6068</v>
      </c>
      <c r="H411" s="2" t="s">
        <v>6067</v>
      </c>
      <c r="I411" s="2"/>
      <c r="J411" s="2">
        <v>1</v>
      </c>
      <c r="K411" s="2"/>
      <c r="L411" s="3">
        <v>23.35</v>
      </c>
      <c r="M411" s="3">
        <v>2.33</v>
      </c>
      <c r="N411" s="3">
        <v>1.4</v>
      </c>
      <c r="O411" s="3">
        <v>1.41</v>
      </c>
      <c r="P411" s="3">
        <f>1.41-1.41</f>
        <v>0</v>
      </c>
      <c r="Q411" s="6">
        <f t="shared" ref="Q411" si="917">+L411-M411-N411+P411</f>
        <v>19.620000000000005</v>
      </c>
      <c r="R411" s="3"/>
      <c r="S411" s="3">
        <v>12.99</v>
      </c>
      <c r="T411" s="3">
        <v>0.97</v>
      </c>
      <c r="U411" s="3"/>
      <c r="V411" s="3"/>
      <c r="W411" s="3"/>
      <c r="X411" s="3">
        <f t="shared" ref="X411" si="918">+S411+T411++U411+V411-W411</f>
        <v>13.96</v>
      </c>
      <c r="Y411" s="6">
        <f t="shared" ref="Y411" si="919">+Q411-X411</f>
        <v>5.6600000000000037</v>
      </c>
      <c r="Z411" s="2"/>
      <c r="AA411" s="2"/>
      <c r="AB411" s="2"/>
      <c r="AC411" s="3"/>
      <c r="AD411" s="2"/>
      <c r="AE411" s="2"/>
      <c r="AF411" s="2"/>
      <c r="AG411" s="2"/>
      <c r="AH411" s="2" t="s">
        <v>6070</v>
      </c>
      <c r="AI411" s="2" t="s">
        <v>6069</v>
      </c>
      <c r="AJ411" s="2"/>
      <c r="AK411" s="2"/>
      <c r="AL411" s="2" t="s">
        <v>5970</v>
      </c>
      <c r="AM411" s="16" t="s">
        <v>6186</v>
      </c>
      <c r="AN411" s="2"/>
      <c r="AO411" s="2" t="s">
        <v>6122</v>
      </c>
      <c r="AP411" s="2" t="s">
        <v>591</v>
      </c>
      <c r="AQ411" s="2"/>
      <c r="AR411" s="16" t="s">
        <v>4387</v>
      </c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</row>
    <row r="412" spans="3:58" ht="17.25" customHeight="1">
      <c r="C412" s="1">
        <v>43995</v>
      </c>
      <c r="E412" s="2" t="s">
        <v>772</v>
      </c>
      <c r="F412" s="15"/>
      <c r="G412" s="2" t="s">
        <v>6064</v>
      </c>
      <c r="H412" s="2" t="s">
        <v>6063</v>
      </c>
      <c r="I412" s="2"/>
      <c r="J412" s="2">
        <v>1</v>
      </c>
      <c r="K412" s="2"/>
      <c r="L412" s="3">
        <v>35.85</v>
      </c>
      <c r="M412" s="3">
        <v>3.58</v>
      </c>
      <c r="N412" s="3">
        <v>1.99</v>
      </c>
      <c r="O412" s="3">
        <v>2.5099999999999998</v>
      </c>
      <c r="P412" s="3">
        <f>2.51-2.51</f>
        <v>0</v>
      </c>
      <c r="Q412" s="6">
        <f t="shared" ref="Q412" si="920">+L412-M412-N412+P412</f>
        <v>30.280000000000005</v>
      </c>
      <c r="R412" s="3"/>
      <c r="S412" s="3">
        <v>18.989999999999998</v>
      </c>
      <c r="T412" s="3">
        <v>1.33</v>
      </c>
      <c r="U412" s="3"/>
      <c r="V412" s="3"/>
      <c r="W412" s="3"/>
      <c r="X412" s="2">
        <f t="shared" ref="X412" si="921">+S412+T412++U412+V412-W412</f>
        <v>20.32</v>
      </c>
      <c r="Y412" s="6">
        <f t="shared" ref="Y412" si="922">+Q412-X412</f>
        <v>9.9600000000000044</v>
      </c>
      <c r="Z412" s="2"/>
      <c r="AA412" s="2"/>
      <c r="AB412" s="2"/>
      <c r="AC412" s="3"/>
      <c r="AD412" s="2"/>
      <c r="AE412" s="2"/>
      <c r="AF412" s="2"/>
      <c r="AG412" s="2"/>
      <c r="AH412" s="2" t="s">
        <v>6066</v>
      </c>
      <c r="AI412" s="2" t="s">
        <v>6065</v>
      </c>
      <c r="AJ412" s="2"/>
      <c r="AK412" s="2"/>
      <c r="AL412" s="2" t="s">
        <v>5966</v>
      </c>
      <c r="AM412" s="2" t="s">
        <v>6175</v>
      </c>
      <c r="AN412" s="2"/>
      <c r="AO412" s="2" t="s">
        <v>6134</v>
      </c>
      <c r="AP412" s="2" t="s">
        <v>591</v>
      </c>
      <c r="AQ412" s="2"/>
      <c r="AR412" s="16" t="s">
        <v>6227</v>
      </c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</row>
    <row r="413" spans="3:58" ht="17.25" customHeight="1">
      <c r="C413" s="1">
        <v>43995</v>
      </c>
      <c r="E413" s="2" t="s">
        <v>772</v>
      </c>
      <c r="F413" s="15"/>
      <c r="G413" s="2" t="s">
        <v>6058</v>
      </c>
      <c r="H413" s="2" t="s">
        <v>6057</v>
      </c>
      <c r="I413" s="2"/>
      <c r="J413" s="2">
        <v>1</v>
      </c>
      <c r="K413" s="2"/>
      <c r="L413" s="3">
        <v>35.85</v>
      </c>
      <c r="M413" s="3">
        <v>3.58</v>
      </c>
      <c r="N413" s="3">
        <v>1.99</v>
      </c>
      <c r="O413" s="3">
        <v>2.5099999999999998</v>
      </c>
      <c r="P413" s="3">
        <f>2.51-2.51</f>
        <v>0</v>
      </c>
      <c r="Q413" s="6">
        <f t="shared" ref="Q413" si="923">+L413-M413-N413+P413</f>
        <v>30.280000000000005</v>
      </c>
      <c r="R413" s="3"/>
      <c r="S413" s="3">
        <v>19.89</v>
      </c>
      <c r="T413" s="3">
        <v>1.39</v>
      </c>
      <c r="U413" s="3"/>
      <c r="V413" s="3"/>
      <c r="W413" s="3"/>
      <c r="X413" s="2">
        <f t="shared" ref="X413" si="924">+S413+T413++U413+V413-W413</f>
        <v>21.28</v>
      </c>
      <c r="Y413" s="6">
        <f t="shared" ref="Y413" si="925">+Q413-X413</f>
        <v>9.0000000000000036</v>
      </c>
      <c r="Z413" s="2"/>
      <c r="AA413" s="2"/>
      <c r="AB413" s="2"/>
      <c r="AC413" s="3"/>
      <c r="AD413" s="2"/>
      <c r="AE413" s="2"/>
      <c r="AF413" s="2"/>
      <c r="AG413" s="2"/>
      <c r="AH413" s="2" t="s">
        <v>6060</v>
      </c>
      <c r="AI413" s="2" t="s">
        <v>6059</v>
      </c>
      <c r="AJ413" s="2"/>
      <c r="AK413" s="2"/>
      <c r="AL413" s="2" t="s">
        <v>5970</v>
      </c>
      <c r="AM413" s="16" t="s">
        <v>6191</v>
      </c>
      <c r="AN413" s="2"/>
      <c r="AO413" s="2" t="s">
        <v>6133</v>
      </c>
      <c r="AP413" s="2" t="s">
        <v>591</v>
      </c>
      <c r="AQ413" s="2"/>
      <c r="AR413" s="16" t="s">
        <v>6025</v>
      </c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</row>
    <row r="414" spans="3:58" ht="17.25" customHeight="1">
      <c r="C414" s="1">
        <v>43995</v>
      </c>
      <c r="E414" s="2" t="s">
        <v>6036</v>
      </c>
      <c r="F414" s="15"/>
      <c r="G414" s="2" t="s">
        <v>6054</v>
      </c>
      <c r="H414" s="2" t="s">
        <v>6053</v>
      </c>
      <c r="I414" s="2"/>
      <c r="J414" s="2">
        <v>1</v>
      </c>
      <c r="K414" s="2"/>
      <c r="L414" s="3">
        <v>32.950000000000003</v>
      </c>
      <c r="M414" s="3">
        <v>3.29</v>
      </c>
      <c r="N414" s="3">
        <v>1.85</v>
      </c>
      <c r="O414" s="3">
        <v>2.2200000000000002</v>
      </c>
      <c r="P414" s="3">
        <f>2.22-2.22</f>
        <v>0</v>
      </c>
      <c r="Q414" s="6">
        <f t="shared" ref="Q414:Q415" si="926">+L414-M414-N414+P414</f>
        <v>27.810000000000002</v>
      </c>
      <c r="R414" s="3"/>
      <c r="S414" s="3">
        <v>21.99</v>
      </c>
      <c r="T414" s="3">
        <v>1.48</v>
      </c>
      <c r="U414" s="3"/>
      <c r="V414" s="3"/>
      <c r="W414" s="3"/>
      <c r="X414" s="2">
        <f t="shared" ref="X414" si="927">+S414+T414++U414+V414-W414</f>
        <v>23.47</v>
      </c>
      <c r="Y414" s="6">
        <f t="shared" ref="Y414" si="928">+Q414-X414</f>
        <v>4.3400000000000034</v>
      </c>
      <c r="Z414" s="2"/>
      <c r="AA414" s="2"/>
      <c r="AB414" s="2"/>
      <c r="AC414" s="3"/>
      <c r="AD414" s="2"/>
      <c r="AE414" s="2"/>
      <c r="AF414" s="2"/>
      <c r="AG414" s="2"/>
      <c r="AH414" s="2" t="s">
        <v>6056</v>
      </c>
      <c r="AI414" s="2" t="s">
        <v>6055</v>
      </c>
      <c r="AJ414" s="2"/>
      <c r="AK414" s="2"/>
      <c r="AL414" s="2" t="s">
        <v>5966</v>
      </c>
      <c r="AM414" s="2" t="s">
        <v>6180</v>
      </c>
      <c r="AN414" s="2"/>
      <c r="AO414" s="2" t="s">
        <v>6147</v>
      </c>
      <c r="AP414" s="2" t="s">
        <v>6148</v>
      </c>
      <c r="AQ414" s="2"/>
      <c r="AR414" s="16" t="s">
        <v>6251</v>
      </c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</row>
    <row r="415" spans="3:58" ht="17.25" customHeight="1">
      <c r="C415" s="1">
        <v>43995</v>
      </c>
      <c r="E415" s="2" t="s">
        <v>6035</v>
      </c>
      <c r="F415" s="15"/>
      <c r="G415" s="2" t="s">
        <v>6048</v>
      </c>
      <c r="H415" s="2" t="s">
        <v>6047</v>
      </c>
      <c r="I415" s="2"/>
      <c r="J415" s="2">
        <v>1</v>
      </c>
      <c r="K415" s="2"/>
      <c r="L415" s="3">
        <v>38.15</v>
      </c>
      <c r="M415" s="3">
        <v>3.81</v>
      </c>
      <c r="N415" s="3">
        <v>2.0699999999999998</v>
      </c>
      <c r="O415" s="3">
        <v>2.1</v>
      </c>
      <c r="P415" s="3">
        <f>2.1-2.1</f>
        <v>0</v>
      </c>
      <c r="Q415" s="6">
        <f t="shared" si="926"/>
        <v>32.269999999999996</v>
      </c>
      <c r="R415" s="3"/>
      <c r="S415" s="3">
        <v>23.99</v>
      </c>
      <c r="T415" s="3">
        <v>1.32</v>
      </c>
      <c r="U415" s="3">
        <v>0</v>
      </c>
      <c r="V415" s="3"/>
      <c r="W415" s="3">
        <v>0</v>
      </c>
      <c r="X415" s="2">
        <f t="shared" ref="X415" si="929">+S415+T415++U415+V415-W415</f>
        <v>25.31</v>
      </c>
      <c r="Y415" s="6">
        <f t="shared" ref="Y415" si="930">+Q415-X415</f>
        <v>6.9599999999999973</v>
      </c>
      <c r="Z415" s="2"/>
      <c r="AA415" s="2"/>
      <c r="AB415" s="2"/>
      <c r="AC415" s="3"/>
      <c r="AD415" s="2"/>
      <c r="AE415" s="2"/>
      <c r="AF415" s="2"/>
      <c r="AG415" s="2"/>
      <c r="AH415" s="2" t="s">
        <v>6050</v>
      </c>
      <c r="AI415" s="2" t="s">
        <v>6049</v>
      </c>
      <c r="AJ415" s="2"/>
      <c r="AK415" s="2"/>
      <c r="AL415" s="2" t="s">
        <v>5981</v>
      </c>
      <c r="AM415" s="2" t="s">
        <v>6204</v>
      </c>
      <c r="AN415" s="2"/>
      <c r="AO415" s="2" t="s">
        <v>6145</v>
      </c>
      <c r="AP415" s="2" t="s">
        <v>6043</v>
      </c>
      <c r="AQ415" s="2"/>
      <c r="AR415" s="19" t="s">
        <v>6146</v>
      </c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</row>
    <row r="416" spans="3:58" ht="17.25" customHeight="1">
      <c r="C416" s="1">
        <v>43995</v>
      </c>
      <c r="E416" s="2" t="s">
        <v>1922</v>
      </c>
      <c r="F416" s="15"/>
      <c r="G416" s="2" t="s">
        <v>6028</v>
      </c>
      <c r="H416" s="2" t="s">
        <v>6027</v>
      </c>
      <c r="I416" s="2"/>
      <c r="J416" s="2">
        <v>1</v>
      </c>
      <c r="K416" s="2"/>
      <c r="L416" s="3">
        <v>22.95</v>
      </c>
      <c r="M416" s="3">
        <v>2.29</v>
      </c>
      <c r="N416" s="3">
        <v>1.42</v>
      </c>
      <c r="O416" s="3"/>
      <c r="P416" s="3">
        <v>2.0099999999999998</v>
      </c>
      <c r="Q416" s="6">
        <f t="shared" ref="Q416" si="931">+L416-M416-N416+P416</f>
        <v>21.25</v>
      </c>
      <c r="R416" s="3"/>
      <c r="S416" s="3">
        <v>12.99</v>
      </c>
      <c r="T416" s="3">
        <v>1.27</v>
      </c>
      <c r="U416" s="3"/>
      <c r="V416" s="3"/>
      <c r="W416" s="3"/>
      <c r="X416" s="3">
        <f t="shared" ref="X416" si="932">+S416+T416++U416+V416-W416</f>
        <v>14.26</v>
      </c>
      <c r="Y416" s="6">
        <f t="shared" ref="Y416" si="933">+Q416-X416</f>
        <v>6.99</v>
      </c>
      <c r="Z416" s="2"/>
      <c r="AA416" s="2"/>
      <c r="AB416" s="2"/>
      <c r="AC416" s="3"/>
      <c r="AD416" s="2"/>
      <c r="AE416" s="2"/>
      <c r="AF416" s="2"/>
      <c r="AG416" s="2"/>
      <c r="AH416" s="2" t="s">
        <v>6030</v>
      </c>
      <c r="AI416" s="2" t="s">
        <v>6029</v>
      </c>
      <c r="AJ416" s="2"/>
      <c r="AK416" s="2"/>
      <c r="AL416" s="2" t="s">
        <v>5970</v>
      </c>
      <c r="AM416" s="16" t="s">
        <v>6140</v>
      </c>
      <c r="AN416" s="2"/>
      <c r="AO416" s="2" t="s">
        <v>6121</v>
      </c>
      <c r="AP416" s="2" t="s">
        <v>591</v>
      </c>
      <c r="AQ416" s="2"/>
      <c r="AR416" s="16" t="s">
        <v>4387</v>
      </c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</row>
    <row r="417" spans="3:58" ht="17.25" customHeight="1">
      <c r="C417" s="1">
        <v>43995</v>
      </c>
      <c r="E417" s="2" t="s">
        <v>3170</v>
      </c>
      <c r="F417" s="15"/>
      <c r="G417" s="2" t="s">
        <v>6007</v>
      </c>
      <c r="H417" s="2" t="s">
        <v>6006</v>
      </c>
      <c r="I417" s="2"/>
      <c r="J417" s="2">
        <v>1</v>
      </c>
      <c r="K417" s="2"/>
      <c r="L417" s="3">
        <v>84.5</v>
      </c>
      <c r="M417" s="3">
        <v>8.4499999999999993</v>
      </c>
      <c r="N417" s="3">
        <v>4.3099999999999996</v>
      </c>
      <c r="O417" s="3">
        <v>5.7</v>
      </c>
      <c r="P417" s="3">
        <f>5.7-5.7</f>
        <v>0</v>
      </c>
      <c r="Q417" s="6">
        <f t="shared" ref="Q417" si="934">+L417-M417-N417+P417</f>
        <v>71.739999999999995</v>
      </c>
      <c r="R417" s="3"/>
      <c r="S417" s="3">
        <v>65.19</v>
      </c>
      <c r="T417" s="3">
        <v>5.05</v>
      </c>
      <c r="U417" s="3"/>
      <c r="V417" s="3"/>
      <c r="W417" s="3">
        <f>6.51</f>
        <v>6.51</v>
      </c>
      <c r="X417" s="2">
        <f t="shared" ref="X417" si="935">+S417+T417++U417+V417-W417</f>
        <v>63.73</v>
      </c>
      <c r="Y417" s="6">
        <f t="shared" ref="Y417" si="936">+Q417-X417</f>
        <v>8.009999999999998</v>
      </c>
      <c r="Z417" s="6">
        <f>SUM(Y409:Y417)</f>
        <v>57</v>
      </c>
      <c r="AA417" s="2"/>
      <c r="AB417" s="2"/>
      <c r="AC417" s="3"/>
      <c r="AD417" s="2"/>
      <c r="AE417" s="2"/>
      <c r="AF417" s="2"/>
      <c r="AG417" s="2"/>
      <c r="AH417" s="2" t="s">
        <v>6009</v>
      </c>
      <c r="AI417" s="2" t="s">
        <v>6008</v>
      </c>
      <c r="AJ417" s="2"/>
      <c r="AK417" s="2"/>
      <c r="AL417" s="2" t="s">
        <v>5996</v>
      </c>
      <c r="AM417" s="16" t="s">
        <v>6297</v>
      </c>
      <c r="AN417" s="2"/>
      <c r="AO417" s="2" t="s">
        <v>6287</v>
      </c>
      <c r="AP417" s="2" t="s">
        <v>3696</v>
      </c>
      <c r="AQ417" s="2"/>
      <c r="AR417" s="16" t="s">
        <v>6286</v>
      </c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</row>
    <row r="418" spans="3:58" ht="17.25" customHeight="1">
      <c r="C418" s="1">
        <v>43994</v>
      </c>
      <c r="E418" s="2" t="s">
        <v>1657</v>
      </c>
      <c r="F418" s="15"/>
      <c r="G418" s="2" t="s">
        <v>6003</v>
      </c>
      <c r="H418" s="2" t="s">
        <v>6002</v>
      </c>
      <c r="I418" s="2"/>
      <c r="J418" s="2">
        <v>1</v>
      </c>
      <c r="K418" s="2"/>
      <c r="L418" s="3">
        <v>84.5</v>
      </c>
      <c r="M418" s="3">
        <v>8.4499999999999993</v>
      </c>
      <c r="N418" s="3">
        <v>4.34</v>
      </c>
      <c r="O418" s="3">
        <v>6.76</v>
      </c>
      <c r="P418" s="3">
        <f>6.76-6.76</f>
        <v>0</v>
      </c>
      <c r="Q418" s="6">
        <f t="shared" ref="Q418" si="937">+L418-M418-N418+P418</f>
        <v>71.709999999999994</v>
      </c>
      <c r="R418" s="3"/>
      <c r="S418" s="3">
        <v>65.19</v>
      </c>
      <c r="T418" s="3">
        <v>5.7</v>
      </c>
      <c r="U418" s="3"/>
      <c r="V418" s="3"/>
      <c r="W418" s="3">
        <f>6.51+0.53</f>
        <v>7.04</v>
      </c>
      <c r="X418" s="2">
        <f t="shared" ref="X418" si="938">+S418+T418++U418+V418-W418</f>
        <v>63.85</v>
      </c>
      <c r="Y418" s="6">
        <f t="shared" ref="Y418" si="939">+Q418-X418</f>
        <v>7.8599999999999923</v>
      </c>
      <c r="Z418" s="2"/>
      <c r="AA418" s="2"/>
      <c r="AB418" s="2"/>
      <c r="AC418" s="3"/>
      <c r="AD418" s="2"/>
      <c r="AE418" s="2"/>
      <c r="AF418" s="2"/>
      <c r="AG418" s="2"/>
      <c r="AH418" s="2" t="s">
        <v>6005</v>
      </c>
      <c r="AI418" s="2" t="s">
        <v>6004</v>
      </c>
      <c r="AJ418" s="2"/>
      <c r="AK418" s="2"/>
      <c r="AL418" s="2" t="s">
        <v>5970</v>
      </c>
      <c r="AM418" s="16" t="s">
        <v>6258</v>
      </c>
      <c r="AN418" s="2"/>
      <c r="AO418" s="2" t="s">
        <v>6230</v>
      </c>
      <c r="AP418" s="2" t="s">
        <v>3696</v>
      </c>
      <c r="AQ418" s="2"/>
      <c r="AR418" s="16" t="s">
        <v>6231</v>
      </c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</row>
    <row r="419" spans="3:58" ht="17.25" customHeight="1">
      <c r="C419" s="1">
        <v>43994</v>
      </c>
      <c r="E419" s="2" t="s">
        <v>7</v>
      </c>
      <c r="F419" s="15"/>
      <c r="G419" s="2" t="s">
        <v>5985</v>
      </c>
      <c r="H419" s="2" t="s">
        <v>5984</v>
      </c>
      <c r="I419" s="2"/>
      <c r="J419" s="2">
        <v>1</v>
      </c>
      <c r="K419" s="2"/>
      <c r="L419" s="3">
        <v>58.5</v>
      </c>
      <c r="M419" s="3">
        <v>5.85</v>
      </c>
      <c r="N419" s="3">
        <v>3.07</v>
      </c>
      <c r="O419" s="3">
        <v>4.53</v>
      </c>
      <c r="P419" s="3">
        <f>4.53-4.53</f>
        <v>0</v>
      </c>
      <c r="Q419" s="6">
        <f t="shared" ref="Q419:Q420" si="940">+L419-M419-N419+P419</f>
        <v>49.58</v>
      </c>
      <c r="R419" s="3"/>
      <c r="S419" s="3">
        <v>42.99</v>
      </c>
      <c r="T419" s="3">
        <v>3.33</v>
      </c>
      <c r="U419" s="3"/>
      <c r="V419" s="3"/>
      <c r="W419" s="3"/>
      <c r="X419" s="2">
        <f t="shared" ref="X419:X420" si="941">+S419+T419++U419+V419-W419</f>
        <v>46.32</v>
      </c>
      <c r="Y419" s="6">
        <f t="shared" ref="Y419:Y420" si="942">+Q419-X419</f>
        <v>3.259999999999998</v>
      </c>
      <c r="Z419" s="2"/>
      <c r="AA419" s="2"/>
      <c r="AB419" s="2"/>
      <c r="AC419" s="3"/>
      <c r="AD419" s="2"/>
      <c r="AE419" s="2"/>
      <c r="AF419" s="2"/>
      <c r="AG419" s="2"/>
      <c r="AH419" s="2" t="s">
        <v>5987</v>
      </c>
      <c r="AI419" s="2" t="s">
        <v>5986</v>
      </c>
      <c r="AJ419" s="2"/>
      <c r="AK419" s="2"/>
      <c r="AL419" s="2" t="s">
        <v>5996</v>
      </c>
      <c r="AM419" s="16" t="s">
        <v>5995</v>
      </c>
      <c r="AN419" s="2"/>
      <c r="AO419" s="2" t="s">
        <v>5990</v>
      </c>
      <c r="AP419" s="2" t="s">
        <v>5988</v>
      </c>
      <c r="AQ419" s="2"/>
      <c r="AR419" s="16" t="s">
        <v>5989</v>
      </c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</row>
    <row r="420" spans="3:58" ht="17.25" customHeight="1">
      <c r="C420" s="1">
        <v>43994</v>
      </c>
      <c r="E420" s="2" t="s">
        <v>6101</v>
      </c>
      <c r="F420" s="15"/>
      <c r="G420" s="2" t="s">
        <v>6023</v>
      </c>
      <c r="H420" s="2" t="s">
        <v>6026</v>
      </c>
      <c r="I420" s="2"/>
      <c r="J420" s="2">
        <v>0</v>
      </c>
      <c r="K420" s="2"/>
      <c r="L420" s="3">
        <v>0</v>
      </c>
      <c r="M420" s="3">
        <v>0</v>
      </c>
      <c r="N420" s="3">
        <v>0</v>
      </c>
      <c r="O420" s="3"/>
      <c r="P420" s="3">
        <v>0</v>
      </c>
      <c r="Q420" s="6">
        <f t="shared" si="940"/>
        <v>0</v>
      </c>
      <c r="R420" s="3"/>
      <c r="S420" s="3">
        <v>0</v>
      </c>
      <c r="T420" s="3">
        <v>0</v>
      </c>
      <c r="U420" s="3"/>
      <c r="V420" s="3"/>
      <c r="W420" s="3"/>
      <c r="X420" s="3">
        <f t="shared" si="941"/>
        <v>0</v>
      </c>
      <c r="Y420" s="6">
        <f t="shared" si="942"/>
        <v>0</v>
      </c>
      <c r="Z420" s="2"/>
      <c r="AA420" s="2"/>
      <c r="AB420" s="2"/>
      <c r="AC420" s="3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5" t="s">
        <v>6114</v>
      </c>
      <c r="AP420" s="5" t="s">
        <v>6114</v>
      </c>
      <c r="AQ420" s="5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</row>
    <row r="421" spans="3:58" ht="17.25" customHeight="1">
      <c r="C421" s="1">
        <v>43994</v>
      </c>
      <c r="E421" s="2" t="s">
        <v>7</v>
      </c>
      <c r="F421" s="15"/>
      <c r="G421" s="2" t="s">
        <v>5972</v>
      </c>
      <c r="H421" s="2" t="s">
        <v>5971</v>
      </c>
      <c r="I421" s="2"/>
      <c r="J421" s="2">
        <v>1</v>
      </c>
      <c r="K421" s="2"/>
      <c r="L421" s="3">
        <v>58.5</v>
      </c>
      <c r="M421" s="3">
        <v>5.85</v>
      </c>
      <c r="N421" s="3">
        <v>3.04</v>
      </c>
      <c r="O421" s="3">
        <v>3.66</v>
      </c>
      <c r="P421" s="3">
        <f>3.66-3.66</f>
        <v>0</v>
      </c>
      <c r="Q421" s="6">
        <f t="shared" ref="Q421:Q422" si="943">+L421-M421-N421+P421</f>
        <v>49.61</v>
      </c>
      <c r="R421" s="3"/>
      <c r="S421" s="3">
        <v>38.99</v>
      </c>
      <c r="T421" s="3">
        <v>2.44</v>
      </c>
      <c r="U421" s="3"/>
      <c r="V421" s="3"/>
      <c r="W421" s="3"/>
      <c r="X421" s="2">
        <f t="shared" ref="X421" si="944">+S421+T421++U421+V421-W421</f>
        <v>41.43</v>
      </c>
      <c r="Y421" s="6">
        <f t="shared" ref="Y421" si="945">+Q421-X421</f>
        <v>8.18</v>
      </c>
      <c r="Z421" s="2"/>
      <c r="AA421" s="2"/>
      <c r="AB421" s="2"/>
      <c r="AC421" s="3"/>
      <c r="AD421" s="2"/>
      <c r="AE421" s="2"/>
      <c r="AF421" s="2"/>
      <c r="AG421" s="2"/>
      <c r="AH421" s="2" t="s">
        <v>5974</v>
      </c>
      <c r="AI421" s="2" t="s">
        <v>5973</v>
      </c>
      <c r="AJ421" s="2"/>
      <c r="AK421" s="2"/>
      <c r="AL421" s="2" t="s">
        <v>5970</v>
      </c>
      <c r="AM421" s="16" t="s">
        <v>6125</v>
      </c>
      <c r="AN421" s="2"/>
      <c r="AO421" s="2" t="s">
        <v>5976</v>
      </c>
      <c r="AP421" s="2" t="s">
        <v>5975</v>
      </c>
      <c r="AQ421" s="2"/>
      <c r="AR421" s="16" t="s">
        <v>5977</v>
      </c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</row>
    <row r="422" spans="3:58" ht="17.25" customHeight="1">
      <c r="C422" s="1">
        <v>43994</v>
      </c>
      <c r="E422" s="2" t="s">
        <v>772</v>
      </c>
      <c r="F422" s="15"/>
      <c r="G422" s="2" t="s">
        <v>5962</v>
      </c>
      <c r="H422" s="2" t="s">
        <v>5961</v>
      </c>
      <c r="I422" s="2"/>
      <c r="J422" s="2">
        <v>1</v>
      </c>
      <c r="K422" s="2"/>
      <c r="L422" s="3">
        <v>35.85</v>
      </c>
      <c r="M422" s="3">
        <v>3.58</v>
      </c>
      <c r="N422" s="3">
        <v>2.02</v>
      </c>
      <c r="O422" s="3"/>
      <c r="P422" s="3">
        <v>3.23</v>
      </c>
      <c r="Q422" s="6">
        <f t="shared" si="943"/>
        <v>33.480000000000004</v>
      </c>
      <c r="R422" s="3"/>
      <c r="S422" s="3">
        <v>19.89</v>
      </c>
      <c r="T422" s="3">
        <v>1.39</v>
      </c>
      <c r="U422" s="3"/>
      <c r="V422" s="3"/>
      <c r="W422" s="3"/>
      <c r="X422" s="2">
        <f t="shared" ref="X422" si="946">+S422+T422++U422+V422-W422</f>
        <v>21.28</v>
      </c>
      <c r="Y422" s="6">
        <f t="shared" ref="Y422" si="947">+Q422-X422</f>
        <v>12.200000000000003</v>
      </c>
      <c r="Z422" s="6">
        <f>SUM(Y418:Y422)</f>
        <v>31.499999999999993</v>
      </c>
      <c r="AA422" s="2"/>
      <c r="AB422" s="2"/>
      <c r="AC422" s="3"/>
      <c r="AD422" s="2"/>
      <c r="AE422" s="2"/>
      <c r="AF422" s="2"/>
      <c r="AG422" s="2"/>
      <c r="AH422" s="2" t="s">
        <v>5964</v>
      </c>
      <c r="AI422" s="2" t="s">
        <v>5963</v>
      </c>
      <c r="AJ422" s="2"/>
      <c r="AK422" s="2"/>
      <c r="AL422" s="2" t="s">
        <v>5966</v>
      </c>
      <c r="AM422" s="2" t="s">
        <v>6109</v>
      </c>
      <c r="AN422" s="2"/>
      <c r="AO422" s="2" t="s">
        <v>6024</v>
      </c>
      <c r="AP422" s="2" t="s">
        <v>591</v>
      </c>
      <c r="AQ422" s="2"/>
      <c r="AR422" s="16" t="s">
        <v>6025</v>
      </c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</row>
    <row r="423" spans="3:58" ht="17.25" customHeight="1">
      <c r="C423" s="1">
        <v>43993</v>
      </c>
      <c r="E423" s="2" t="s">
        <v>772</v>
      </c>
      <c r="F423" s="15"/>
      <c r="G423" s="2" t="s">
        <v>5943</v>
      </c>
      <c r="H423" s="2" t="s">
        <v>5942</v>
      </c>
      <c r="I423" s="2"/>
      <c r="J423" s="2">
        <v>1</v>
      </c>
      <c r="K423" s="2"/>
      <c r="L423" s="3">
        <v>35.85</v>
      </c>
      <c r="M423" s="3">
        <v>3.58</v>
      </c>
      <c r="N423" s="3">
        <v>1.97</v>
      </c>
      <c r="O423" s="3">
        <v>1.97</v>
      </c>
      <c r="P423" s="3">
        <f>1.97-1.97</f>
        <v>0</v>
      </c>
      <c r="Q423" s="6">
        <f t="shared" ref="Q423" si="948">+L423-M423-N423+P423</f>
        <v>30.300000000000004</v>
      </c>
      <c r="R423" s="3"/>
      <c r="S423" s="3">
        <v>19.89</v>
      </c>
      <c r="T423" s="3">
        <v>1.0900000000000001</v>
      </c>
      <c r="U423" s="3"/>
      <c r="V423" s="3"/>
      <c r="W423" s="3"/>
      <c r="X423" s="2">
        <f t="shared" ref="X423" si="949">+S423+T423++U423+V423-W423</f>
        <v>20.98</v>
      </c>
      <c r="Y423" s="6">
        <f t="shared" ref="Y423" si="950">+Q423-X423</f>
        <v>9.3200000000000038</v>
      </c>
      <c r="Z423" s="2"/>
      <c r="AA423" s="2"/>
      <c r="AB423" s="2"/>
      <c r="AC423" s="3"/>
      <c r="AD423" s="2"/>
      <c r="AE423" s="2"/>
      <c r="AF423" s="2"/>
      <c r="AG423" s="2"/>
      <c r="AH423" s="2" t="s">
        <v>5945</v>
      </c>
      <c r="AI423" s="2" t="s">
        <v>5944</v>
      </c>
      <c r="AJ423" s="2"/>
      <c r="AK423" s="2"/>
      <c r="AL423" s="2" t="s">
        <v>6178</v>
      </c>
      <c r="AM423" s="2" t="s">
        <v>6177</v>
      </c>
      <c r="AN423" s="2"/>
      <c r="AO423" s="2" t="s">
        <v>5959</v>
      </c>
      <c r="AP423" s="2" t="s">
        <v>591</v>
      </c>
      <c r="AQ423" s="2"/>
      <c r="AR423" s="16" t="s">
        <v>5960</v>
      </c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</row>
    <row r="424" spans="3:58" ht="17.25" customHeight="1">
      <c r="C424" s="1">
        <v>43993</v>
      </c>
      <c r="E424" s="2" t="s">
        <v>772</v>
      </c>
      <c r="F424" s="15"/>
      <c r="G424" s="2" t="s">
        <v>5932</v>
      </c>
      <c r="H424" s="2" t="s">
        <v>5931</v>
      </c>
      <c r="I424" s="2"/>
      <c r="J424" s="2">
        <v>1</v>
      </c>
      <c r="K424" s="2"/>
      <c r="L424" s="3">
        <v>35.85</v>
      </c>
      <c r="M424" s="3">
        <v>3.58</v>
      </c>
      <c r="N424" s="3">
        <v>1.98</v>
      </c>
      <c r="O424" s="3">
        <v>2.38</v>
      </c>
      <c r="P424" s="3">
        <f>2.38-2.38</f>
        <v>0</v>
      </c>
      <c r="Q424" s="6">
        <f t="shared" ref="Q424" si="951">+L424-M424-N424+P424</f>
        <v>30.290000000000003</v>
      </c>
      <c r="R424" s="3"/>
      <c r="S424" s="3">
        <v>19.89</v>
      </c>
      <c r="T424" s="3">
        <v>1.32</v>
      </c>
      <c r="U424" s="3"/>
      <c r="V424" s="3"/>
      <c r="W424" s="3"/>
      <c r="X424" s="2">
        <f t="shared" ref="X424" si="952">+S424+T424++U424+V424-W424</f>
        <v>21.21</v>
      </c>
      <c r="Y424" s="6">
        <f t="shared" ref="Y424" si="953">+Q424-X424</f>
        <v>9.0800000000000018</v>
      </c>
      <c r="Z424" s="2"/>
      <c r="AA424" s="2"/>
      <c r="AB424" s="2"/>
      <c r="AC424" s="3"/>
      <c r="AD424" s="2"/>
      <c r="AE424" s="2"/>
      <c r="AF424" s="2"/>
      <c r="AG424" s="2"/>
      <c r="AH424" s="2" t="s">
        <v>5934</v>
      </c>
      <c r="AI424" s="2" t="s">
        <v>5933</v>
      </c>
      <c r="AJ424" s="2"/>
      <c r="AK424" s="2"/>
      <c r="AL424" s="2" t="s">
        <v>5966</v>
      </c>
      <c r="AM424" s="2" t="s">
        <v>6128</v>
      </c>
      <c r="AN424" s="2"/>
      <c r="AO424" s="2" t="s">
        <v>5957</v>
      </c>
      <c r="AP424" s="2" t="s">
        <v>591</v>
      </c>
      <c r="AQ424" s="2"/>
      <c r="AR424" s="16" t="s">
        <v>5958</v>
      </c>
      <c r="AS424" s="16" t="s">
        <v>6179</v>
      </c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</row>
    <row r="425" spans="3:58" ht="17.25" customHeight="1">
      <c r="C425" s="1">
        <v>43993</v>
      </c>
      <c r="E425" s="2" t="s">
        <v>5926</v>
      </c>
      <c r="F425" s="15"/>
      <c r="G425" s="2" t="s">
        <v>5928</v>
      </c>
      <c r="H425" s="2" t="s">
        <v>5927</v>
      </c>
      <c r="I425" s="2"/>
      <c r="J425" s="2">
        <v>1</v>
      </c>
      <c r="K425" s="2"/>
      <c r="L425" s="3">
        <v>83.5</v>
      </c>
      <c r="M425" s="3">
        <v>8.35</v>
      </c>
      <c r="N425" s="3">
        <v>4.2300000000000004</v>
      </c>
      <c r="O425" s="3">
        <v>0</v>
      </c>
      <c r="P425" s="3">
        <v>5.85</v>
      </c>
      <c r="Q425" s="6">
        <f t="shared" ref="Q425" si="954">+L425-M425-N425+P425</f>
        <v>76.77</v>
      </c>
      <c r="R425" s="3"/>
      <c r="S425" s="3">
        <v>65.19</v>
      </c>
      <c r="T425" s="3">
        <v>4.57</v>
      </c>
      <c r="U425" s="3"/>
      <c r="V425" s="3"/>
      <c r="W425" s="33">
        <f>6.51</f>
        <v>6.51</v>
      </c>
      <c r="X425" s="2">
        <f t="shared" ref="X425" si="955">+S425+T425++U425+V425-W425</f>
        <v>63.249999999999993</v>
      </c>
      <c r="Y425" s="6">
        <f t="shared" ref="Y425" si="956">+Q425-X425</f>
        <v>13.520000000000003</v>
      </c>
      <c r="Z425" s="2"/>
      <c r="AA425" s="2"/>
      <c r="AB425" s="2"/>
      <c r="AC425" s="3"/>
      <c r="AD425" s="2"/>
      <c r="AE425" s="2"/>
      <c r="AF425" s="2"/>
      <c r="AG425" s="2"/>
      <c r="AH425" s="2" t="s">
        <v>5930</v>
      </c>
      <c r="AI425" s="2" t="s">
        <v>5929</v>
      </c>
      <c r="AJ425" s="2"/>
      <c r="AK425" s="2"/>
      <c r="AL425" s="2" t="s">
        <v>5996</v>
      </c>
      <c r="AM425" s="16" t="s">
        <v>6182</v>
      </c>
      <c r="AN425" s="2"/>
      <c r="AO425" s="2" t="s">
        <v>6144</v>
      </c>
      <c r="AP425" s="2" t="s">
        <v>3696</v>
      </c>
      <c r="AQ425" s="2"/>
      <c r="AR425" s="16" t="s">
        <v>6142</v>
      </c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</row>
    <row r="426" spans="3:58" ht="17.25" customHeight="1">
      <c r="C426" s="1">
        <v>43993</v>
      </c>
      <c r="E426" s="2" t="s">
        <v>1922</v>
      </c>
      <c r="F426" s="15"/>
      <c r="G426" s="2" t="s">
        <v>5910</v>
      </c>
      <c r="H426" s="2" t="s">
        <v>5909</v>
      </c>
      <c r="I426" s="2"/>
      <c r="J426" s="2">
        <v>3</v>
      </c>
      <c r="K426" s="2"/>
      <c r="L426" s="3">
        <v>68.849999999999994</v>
      </c>
      <c r="M426" s="3">
        <v>6.88</v>
      </c>
      <c r="N426" s="3">
        <v>3.49</v>
      </c>
      <c r="O426" s="3">
        <v>3.65</v>
      </c>
      <c r="P426" s="3">
        <f>3.65-3.65</f>
        <v>0</v>
      </c>
      <c r="Q426" s="6">
        <f t="shared" ref="Q426" si="957">+L426-M426-N426+P426</f>
        <v>58.47999999999999</v>
      </c>
      <c r="R426" s="3"/>
      <c r="S426" s="3">
        <v>38.97</v>
      </c>
      <c r="T426" s="3">
        <v>2.0699999999999998</v>
      </c>
      <c r="U426" s="3"/>
      <c r="V426" s="3"/>
      <c r="W426" s="3"/>
      <c r="X426" s="3">
        <f t="shared" ref="X426" si="958">+S426+T426++U426+V426-W426</f>
        <v>41.04</v>
      </c>
      <c r="Y426" s="6">
        <f t="shared" ref="Y426" si="959">+Q426-X426</f>
        <v>17.439999999999991</v>
      </c>
      <c r="Z426" s="2"/>
      <c r="AA426" s="2"/>
      <c r="AB426" s="2"/>
      <c r="AC426" s="3"/>
      <c r="AD426" s="2"/>
      <c r="AE426" s="2"/>
      <c r="AF426" s="2"/>
      <c r="AG426" s="2"/>
      <c r="AH426" s="2" t="s">
        <v>5912</v>
      </c>
      <c r="AI426" s="2" t="s">
        <v>5911</v>
      </c>
      <c r="AJ426" s="2"/>
      <c r="AK426" s="2"/>
      <c r="AL426" s="2" t="s">
        <v>5970</v>
      </c>
      <c r="AM426" s="16" t="s">
        <v>5969</v>
      </c>
      <c r="AN426" s="2"/>
      <c r="AO426" s="2" t="s">
        <v>5913</v>
      </c>
      <c r="AP426" s="2" t="s">
        <v>5412</v>
      </c>
      <c r="AQ426" s="2"/>
      <c r="AR426" s="16" t="s">
        <v>5914</v>
      </c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</row>
    <row r="427" spans="3:58" ht="17.25" customHeight="1">
      <c r="C427" s="1">
        <v>43993</v>
      </c>
      <c r="E427" s="2" t="s">
        <v>772</v>
      </c>
      <c r="F427" s="15"/>
      <c r="G427" s="2" t="s">
        <v>5896</v>
      </c>
      <c r="H427" s="2" t="s">
        <v>5895</v>
      </c>
      <c r="I427" s="2"/>
      <c r="J427" s="2">
        <v>1</v>
      </c>
      <c r="K427" s="2"/>
      <c r="L427" s="3">
        <v>35.85</v>
      </c>
      <c r="M427" s="3">
        <v>3.58</v>
      </c>
      <c r="N427" s="3">
        <v>1.99</v>
      </c>
      <c r="O427" s="3">
        <v>2.5099999999999998</v>
      </c>
      <c r="P427" s="3">
        <f>2.51-2.51</f>
        <v>0</v>
      </c>
      <c r="Q427" s="6">
        <f t="shared" ref="Q427" si="960">+L427-M427-N427+P427</f>
        <v>30.280000000000005</v>
      </c>
      <c r="R427" s="3"/>
      <c r="S427" s="3">
        <v>19.89</v>
      </c>
      <c r="T427" s="3">
        <v>1.39</v>
      </c>
      <c r="U427" s="3"/>
      <c r="V427" s="3"/>
      <c r="W427" s="3"/>
      <c r="X427" s="2">
        <f t="shared" ref="X427" si="961">+S427+T427++U427+V427-W427</f>
        <v>21.28</v>
      </c>
      <c r="Y427" s="6">
        <f t="shared" ref="Y427" si="962">+Q427-X427</f>
        <v>9.0000000000000036</v>
      </c>
      <c r="Z427" s="6">
        <f>SUM(Y423:Y427)</f>
        <v>58.36</v>
      </c>
      <c r="AA427" s="2"/>
      <c r="AB427" s="2"/>
      <c r="AC427" s="3"/>
      <c r="AD427" s="2"/>
      <c r="AE427" s="2"/>
      <c r="AF427" s="2"/>
      <c r="AG427" s="2"/>
      <c r="AH427" s="2" t="s">
        <v>5902</v>
      </c>
      <c r="AI427" s="2" t="s">
        <v>5901</v>
      </c>
      <c r="AJ427" s="2"/>
      <c r="AK427" s="2"/>
      <c r="AL427" s="2" t="s">
        <v>5981</v>
      </c>
      <c r="AM427" s="2" t="s">
        <v>6185</v>
      </c>
      <c r="AN427" s="2"/>
      <c r="AO427" s="2" t="s">
        <v>5916</v>
      </c>
      <c r="AP427" s="2" t="s">
        <v>5412</v>
      </c>
      <c r="AQ427" s="2"/>
      <c r="AR427" s="16" t="s">
        <v>5585</v>
      </c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</row>
    <row r="428" spans="3:58" ht="17.25" customHeight="1">
      <c r="C428" s="1">
        <v>43992</v>
      </c>
      <c r="E428" s="2" t="s">
        <v>772</v>
      </c>
      <c r="F428" s="15"/>
      <c r="G428" s="2" t="s">
        <v>5900</v>
      </c>
      <c r="H428" s="2" t="s">
        <v>5899</v>
      </c>
      <c r="I428" s="2"/>
      <c r="J428" s="2">
        <v>2</v>
      </c>
      <c r="K428" s="2"/>
      <c r="L428" s="3">
        <v>71.7</v>
      </c>
      <c r="M428" s="3">
        <v>7.17</v>
      </c>
      <c r="N428" s="3">
        <v>3.74</v>
      </c>
      <c r="O428" s="3"/>
      <c r="P428" s="3">
        <v>4.45</v>
      </c>
      <c r="Q428" s="6">
        <f t="shared" ref="Q428" si="963">+L428-M428-N428+P428</f>
        <v>65.239999999999995</v>
      </c>
      <c r="R428" s="3"/>
      <c r="S428" s="3">
        <v>39.78</v>
      </c>
      <c r="T428" s="3">
        <v>2.42</v>
      </c>
      <c r="U428" s="3"/>
      <c r="V428" s="3"/>
      <c r="W428" s="3"/>
      <c r="X428" s="2">
        <f t="shared" ref="X428" si="964">+S428+T428++U428+V428-W428</f>
        <v>42.2</v>
      </c>
      <c r="Y428" s="6">
        <f t="shared" ref="Y428" si="965">+Q428-X428</f>
        <v>23.039999999999992</v>
      </c>
      <c r="Z428" s="2"/>
      <c r="AA428" s="2"/>
      <c r="AB428" s="2"/>
      <c r="AC428" s="3"/>
      <c r="AD428" s="2"/>
      <c r="AE428" s="2"/>
      <c r="AF428" s="2"/>
      <c r="AG428" s="2"/>
      <c r="AH428" s="2" t="s">
        <v>5898</v>
      </c>
      <c r="AI428" s="2" t="s">
        <v>5897</v>
      </c>
      <c r="AJ428" s="2"/>
      <c r="AK428" s="2"/>
      <c r="AL428" s="2" t="s">
        <v>5970</v>
      </c>
      <c r="AM428" s="16" t="s">
        <v>6011</v>
      </c>
      <c r="AN428" s="2"/>
      <c r="AO428" s="2" t="s">
        <v>5915</v>
      </c>
      <c r="AP428" s="2" t="s">
        <v>5412</v>
      </c>
      <c r="AQ428" s="2"/>
      <c r="AR428" s="16" t="s">
        <v>5914</v>
      </c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</row>
    <row r="429" spans="3:58" ht="17.25" customHeight="1">
      <c r="C429" s="1">
        <v>43992</v>
      </c>
      <c r="E429" s="2" t="s">
        <v>5859</v>
      </c>
      <c r="F429" s="15"/>
      <c r="G429" s="2" t="s">
        <v>5886</v>
      </c>
      <c r="H429" s="2" t="s">
        <v>5885</v>
      </c>
      <c r="I429" s="2"/>
      <c r="J429" s="2">
        <v>1</v>
      </c>
      <c r="K429" s="2"/>
      <c r="L429" s="3">
        <v>56.45</v>
      </c>
      <c r="M429" s="3">
        <v>5.64</v>
      </c>
      <c r="N429" s="3">
        <v>2.96</v>
      </c>
      <c r="O429" s="3">
        <v>3.95</v>
      </c>
      <c r="P429" s="3">
        <f>3.95-3.95</f>
        <v>0</v>
      </c>
      <c r="Q429" s="6">
        <f t="shared" ref="Q429" si="966">+L429-M429-N429+P429</f>
        <v>47.85</v>
      </c>
      <c r="R429" s="3"/>
      <c r="S429" s="3">
        <v>40</v>
      </c>
      <c r="T429" s="3">
        <v>3.48</v>
      </c>
      <c r="U429" s="3"/>
      <c r="V429" s="3"/>
      <c r="W429" s="3"/>
      <c r="X429" s="2">
        <f t="shared" ref="X429" si="967">+S429+T429++U429+V429-W429</f>
        <v>43.48</v>
      </c>
      <c r="Y429" s="6">
        <f t="shared" ref="Y429" si="968">+Q429-X429</f>
        <v>4.3700000000000045</v>
      </c>
      <c r="Z429" s="2"/>
      <c r="AA429" s="2"/>
      <c r="AB429" s="2"/>
      <c r="AC429" s="3"/>
      <c r="AD429" s="2"/>
      <c r="AE429" s="2"/>
      <c r="AF429" s="2"/>
      <c r="AG429" s="2"/>
      <c r="AH429" s="2" t="s">
        <v>5888</v>
      </c>
      <c r="AI429" s="2" t="s">
        <v>5887</v>
      </c>
      <c r="AJ429" s="2"/>
      <c r="AK429" s="2"/>
      <c r="AL429" s="2" t="s">
        <v>5981</v>
      </c>
      <c r="AM429" s="16" t="s">
        <v>6165</v>
      </c>
      <c r="AN429" s="2"/>
      <c r="AO429" s="2" t="s">
        <v>6108</v>
      </c>
      <c r="AP429" s="2" t="s">
        <v>2128</v>
      </c>
      <c r="AQ429" s="2"/>
      <c r="AR429" s="16" t="s">
        <v>6166</v>
      </c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</row>
    <row r="430" spans="3:58" ht="17.25" customHeight="1">
      <c r="C430" s="1">
        <v>43992</v>
      </c>
      <c r="E430" s="2" t="s">
        <v>1922</v>
      </c>
      <c r="F430" s="15"/>
      <c r="G430" s="2" t="s">
        <v>5882</v>
      </c>
      <c r="H430" s="2" t="s">
        <v>5881</v>
      </c>
      <c r="I430" s="2"/>
      <c r="J430" s="2">
        <v>1</v>
      </c>
      <c r="K430" s="2"/>
      <c r="L430" s="3">
        <v>22.95</v>
      </c>
      <c r="M430" s="3">
        <v>2.29</v>
      </c>
      <c r="N430" s="3">
        <v>1.39</v>
      </c>
      <c r="O430" s="3">
        <v>1.78</v>
      </c>
      <c r="P430" s="3">
        <f>1.78-1.78</f>
        <v>0</v>
      </c>
      <c r="Q430" s="6">
        <f t="shared" ref="Q430" si="969">+L430-M430-N430+P430</f>
        <v>19.27</v>
      </c>
      <c r="R430" s="3"/>
      <c r="S430" s="3">
        <v>11.95</v>
      </c>
      <c r="T430" s="3">
        <v>0.93</v>
      </c>
      <c r="U430" s="3"/>
      <c r="V430" s="3"/>
      <c r="W430" s="3"/>
      <c r="X430" s="3">
        <f t="shared" ref="X430" si="970">+S430+T430++U430+V430-W430</f>
        <v>12.879999999999999</v>
      </c>
      <c r="Y430" s="6">
        <f t="shared" ref="Y430" si="971">+Q430-X430</f>
        <v>6.3900000000000006</v>
      </c>
      <c r="Z430" s="2"/>
      <c r="AA430" s="2"/>
      <c r="AB430" s="2"/>
      <c r="AC430" s="3"/>
      <c r="AD430" s="2"/>
      <c r="AE430" s="2"/>
      <c r="AF430" s="2"/>
      <c r="AG430" s="2"/>
      <c r="AH430" s="2" t="s">
        <v>5884</v>
      </c>
      <c r="AI430" s="2" t="s">
        <v>5883</v>
      </c>
      <c r="AJ430" s="2"/>
      <c r="AK430" s="2"/>
      <c r="AL430" s="2" t="s">
        <v>5966</v>
      </c>
      <c r="AM430" s="2" t="s">
        <v>5983</v>
      </c>
      <c r="AN430" s="2"/>
      <c r="AO430" s="2" t="s">
        <v>5892</v>
      </c>
      <c r="AP430" s="2" t="s">
        <v>5412</v>
      </c>
      <c r="AQ430" s="2"/>
      <c r="AR430" s="16" t="s">
        <v>6021</v>
      </c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</row>
    <row r="431" spans="3:58" ht="17.25" customHeight="1">
      <c r="C431" s="1">
        <v>43992</v>
      </c>
      <c r="E431" s="2" t="s">
        <v>1922</v>
      </c>
      <c r="F431" s="15"/>
      <c r="G431" s="2" t="s">
        <v>5865</v>
      </c>
      <c r="H431" s="2" t="s">
        <v>5864</v>
      </c>
      <c r="I431" s="2"/>
      <c r="J431" s="2">
        <v>1</v>
      </c>
      <c r="K431" s="2"/>
      <c r="L431" s="3">
        <v>22.95</v>
      </c>
      <c r="M431" s="3">
        <v>2.29</v>
      </c>
      <c r="N431" s="3">
        <v>1.38</v>
      </c>
      <c r="O431" s="3">
        <v>1.61</v>
      </c>
      <c r="P431" s="3">
        <f>1.61-1.61</f>
        <v>0</v>
      </c>
      <c r="Q431" s="6">
        <f t="shared" ref="Q431:Q433" si="972">+L431-M431-N431+P431</f>
        <v>19.28</v>
      </c>
      <c r="R431" s="3"/>
      <c r="S431" s="3">
        <v>11.95</v>
      </c>
      <c r="T431" s="3">
        <v>0.84</v>
      </c>
      <c r="U431" s="3"/>
      <c r="V431" s="3"/>
      <c r="W431" s="3"/>
      <c r="X431" s="3">
        <f t="shared" ref="X431:X433" si="973">+S431+T431++U431+V431-W431</f>
        <v>12.79</v>
      </c>
      <c r="Y431" s="6">
        <f t="shared" ref="Y431:Y433" si="974">+Q431-X431</f>
        <v>6.490000000000002</v>
      </c>
      <c r="Z431" s="2"/>
      <c r="AA431" s="2"/>
      <c r="AB431" s="2"/>
      <c r="AC431" s="3"/>
      <c r="AD431" s="2"/>
      <c r="AE431" s="2"/>
      <c r="AF431" s="2"/>
      <c r="AG431" s="2"/>
      <c r="AH431" s="2" t="s">
        <v>5867</v>
      </c>
      <c r="AI431" s="2" t="s">
        <v>5866</v>
      </c>
      <c r="AJ431" s="2"/>
      <c r="AK431" s="2"/>
      <c r="AL431" s="2" t="s">
        <v>5981</v>
      </c>
      <c r="AM431" s="2" t="s">
        <v>6184</v>
      </c>
      <c r="AN431" s="2"/>
      <c r="AO431" s="2" t="s">
        <v>5890</v>
      </c>
      <c r="AP431" s="2" t="s">
        <v>5412</v>
      </c>
      <c r="AQ431" s="2"/>
      <c r="AR431" s="16" t="s">
        <v>5891</v>
      </c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</row>
    <row r="432" spans="3:58" ht="17.25" customHeight="1">
      <c r="C432" s="1">
        <v>43992</v>
      </c>
      <c r="E432" s="2" t="s">
        <v>5859</v>
      </c>
      <c r="F432" s="15"/>
      <c r="G432" s="2" t="s">
        <v>5869</v>
      </c>
      <c r="H432" s="2" t="s">
        <v>5868</v>
      </c>
      <c r="I432" s="2"/>
      <c r="J432" s="2">
        <v>1</v>
      </c>
      <c r="K432" s="2"/>
      <c r="L432" s="3">
        <v>56.45</v>
      </c>
      <c r="M432" s="3">
        <v>5.64</v>
      </c>
      <c r="N432" s="3">
        <v>2.92</v>
      </c>
      <c r="O432" s="3">
        <v>3.16</v>
      </c>
      <c r="P432" s="3">
        <f>3.16-3.16</f>
        <v>0</v>
      </c>
      <c r="Q432" s="6">
        <f t="shared" si="972"/>
        <v>47.89</v>
      </c>
      <c r="R432" s="3"/>
      <c r="S432" s="3">
        <v>40</v>
      </c>
      <c r="T432" s="3">
        <v>3.48</v>
      </c>
      <c r="U432" s="3">
        <v>5</v>
      </c>
      <c r="V432" s="3"/>
      <c r="W432" s="3"/>
      <c r="X432" s="2">
        <f t="shared" si="973"/>
        <v>48.48</v>
      </c>
      <c r="Y432" s="6">
        <f t="shared" si="974"/>
        <v>-0.58999999999999631</v>
      </c>
      <c r="Z432" s="2"/>
      <c r="AA432" s="2"/>
      <c r="AB432" s="2"/>
      <c r="AC432" s="3"/>
      <c r="AD432" s="2"/>
      <c r="AE432" s="2"/>
      <c r="AF432" s="2"/>
      <c r="AG432" s="2"/>
      <c r="AH432" s="2" t="s">
        <v>5871</v>
      </c>
      <c r="AI432" s="2" t="s">
        <v>5870</v>
      </c>
      <c r="AJ432" s="2"/>
      <c r="AK432" s="2"/>
      <c r="AL432" s="2" t="s">
        <v>5981</v>
      </c>
      <c r="AM432" s="2" t="s">
        <v>5980</v>
      </c>
      <c r="AN432" s="2"/>
      <c r="AO432" s="2" t="s">
        <v>5954</v>
      </c>
      <c r="AP432" s="2" t="s">
        <v>5946</v>
      </c>
      <c r="AQ432" s="2"/>
      <c r="AR432" s="16" t="s">
        <v>4640</v>
      </c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</row>
    <row r="433" spans="3:58" ht="17.25" customHeight="1">
      <c r="C433" s="1">
        <v>43992</v>
      </c>
      <c r="E433" s="2" t="s">
        <v>5851</v>
      </c>
      <c r="F433" s="15"/>
      <c r="G433" s="2" t="s">
        <v>5873</v>
      </c>
      <c r="H433" s="2" t="s">
        <v>5872</v>
      </c>
      <c r="I433" s="2"/>
      <c r="J433" s="2">
        <v>1</v>
      </c>
      <c r="K433" s="2"/>
      <c r="L433" s="3">
        <v>38.15</v>
      </c>
      <c r="M433" s="3">
        <v>3.81</v>
      </c>
      <c r="N433" s="3">
        <v>2.08</v>
      </c>
      <c r="O433" s="3">
        <v>2.29</v>
      </c>
      <c r="P433" s="3">
        <f>2.29-2.29</f>
        <v>0</v>
      </c>
      <c r="Q433" s="6">
        <f t="shared" si="972"/>
        <v>32.26</v>
      </c>
      <c r="R433" s="3"/>
      <c r="S433" s="3">
        <v>23.99</v>
      </c>
      <c r="T433" s="3">
        <v>1.44</v>
      </c>
      <c r="U433" s="3">
        <v>0</v>
      </c>
      <c r="V433" s="3"/>
      <c r="W433" s="3">
        <v>0</v>
      </c>
      <c r="X433" s="2">
        <f t="shared" si="973"/>
        <v>25.43</v>
      </c>
      <c r="Y433" s="6">
        <f t="shared" si="974"/>
        <v>6.8299999999999983</v>
      </c>
      <c r="Z433" s="6">
        <f>SUM(Y428:Y433)</f>
        <v>46.53</v>
      </c>
      <c r="AA433" s="2"/>
      <c r="AB433" s="2"/>
      <c r="AC433" s="3"/>
      <c r="AD433" s="2"/>
      <c r="AE433" s="2"/>
      <c r="AF433" s="2"/>
      <c r="AG433" s="2"/>
      <c r="AH433" s="2" t="s">
        <v>5875</v>
      </c>
      <c r="AI433" s="2" t="s">
        <v>5874</v>
      </c>
      <c r="AJ433" s="2"/>
      <c r="AK433" s="2"/>
      <c r="AL433" s="2" t="s">
        <v>5966</v>
      </c>
      <c r="AM433" s="2" t="s">
        <v>6176</v>
      </c>
      <c r="AN433" s="2"/>
      <c r="AO433" s="2" t="s">
        <v>5924</v>
      </c>
      <c r="AP433" s="2" t="s">
        <v>5515</v>
      </c>
      <c r="AQ433" s="2"/>
      <c r="AR433" s="2" t="s">
        <v>5925</v>
      </c>
      <c r="AS433" s="16" t="s">
        <v>5979</v>
      </c>
      <c r="AT433" s="2"/>
      <c r="AU433" s="2" t="s">
        <v>6010</v>
      </c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</row>
    <row r="434" spans="3:58" ht="17.25" customHeight="1">
      <c r="C434" s="1">
        <v>43991</v>
      </c>
      <c r="E434" s="2" t="s">
        <v>1922</v>
      </c>
      <c r="F434" s="15"/>
      <c r="G434" s="2" t="s">
        <v>5861</v>
      </c>
      <c r="H434" s="2" t="s">
        <v>5860</v>
      </c>
      <c r="I434" s="2"/>
      <c r="J434" s="2">
        <v>1</v>
      </c>
      <c r="K434" s="2"/>
      <c r="L434" s="3">
        <v>22.95</v>
      </c>
      <c r="M434" s="3">
        <v>2.29</v>
      </c>
      <c r="N434" s="3">
        <v>1.4</v>
      </c>
      <c r="O434" s="3"/>
      <c r="P434" s="3">
        <v>1.97</v>
      </c>
      <c r="Q434" s="6">
        <f t="shared" ref="Q434" si="975">+L434-M434-N434+P434</f>
        <v>21.23</v>
      </c>
      <c r="R434" s="3"/>
      <c r="S434" s="3">
        <v>11.95</v>
      </c>
      <c r="T434" s="3">
        <v>1.0900000000000001</v>
      </c>
      <c r="U434" s="3"/>
      <c r="V434" s="3"/>
      <c r="W434" s="3"/>
      <c r="X434" s="3">
        <f t="shared" ref="X434" si="976">+S434+T434++U434+V434-W434</f>
        <v>13.04</v>
      </c>
      <c r="Y434" s="6">
        <f t="shared" ref="Y434" si="977">+Q434-X434</f>
        <v>8.1900000000000013</v>
      </c>
      <c r="Z434" s="2"/>
      <c r="AA434" s="2"/>
      <c r="AB434" s="2"/>
      <c r="AC434" s="3"/>
      <c r="AD434" s="2"/>
      <c r="AE434" s="2"/>
      <c r="AF434" s="2"/>
      <c r="AG434" s="2"/>
      <c r="AH434" s="2" t="s">
        <v>5863</v>
      </c>
      <c r="AI434" s="2" t="s">
        <v>5862</v>
      </c>
      <c r="AJ434" s="2"/>
      <c r="AK434" s="2"/>
      <c r="AL434" s="2" t="s">
        <v>5426</v>
      </c>
      <c r="AM434" s="2" t="s">
        <v>5951</v>
      </c>
      <c r="AN434" s="2"/>
      <c r="AO434" s="2" t="s">
        <v>5889</v>
      </c>
      <c r="AP434" s="2" t="s">
        <v>5412</v>
      </c>
      <c r="AQ434" s="2"/>
      <c r="AR434" s="16" t="s">
        <v>6022</v>
      </c>
      <c r="AS434" s="2"/>
      <c r="AT434" s="2"/>
      <c r="AU434" s="2" t="s">
        <v>5952</v>
      </c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5" spans="3:58" ht="17.25" customHeight="1">
      <c r="C435" s="1">
        <v>43991</v>
      </c>
      <c r="E435" s="2" t="s">
        <v>5742</v>
      </c>
      <c r="F435" s="15"/>
      <c r="G435" s="2" t="s">
        <v>5841</v>
      </c>
      <c r="H435" s="2" t="s">
        <v>5840</v>
      </c>
      <c r="I435" s="2"/>
      <c r="J435" s="2">
        <v>1</v>
      </c>
      <c r="K435" s="2"/>
      <c r="L435" s="3">
        <v>29.5</v>
      </c>
      <c r="M435" s="3">
        <v>2.95</v>
      </c>
      <c r="N435" s="3">
        <v>1.68</v>
      </c>
      <c r="O435" s="3">
        <v>1.77</v>
      </c>
      <c r="P435" s="3">
        <f>1.77-1.77</f>
        <v>0</v>
      </c>
      <c r="Q435" s="6">
        <f t="shared" ref="Q435" si="978">+L435-M435-N435+P435</f>
        <v>24.87</v>
      </c>
      <c r="R435" s="3"/>
      <c r="S435" s="3">
        <v>14.98</v>
      </c>
      <c r="T435" s="3">
        <v>0.94</v>
      </c>
      <c r="U435" s="3">
        <v>0</v>
      </c>
      <c r="V435" s="3"/>
      <c r="W435" s="3">
        <v>1.49</v>
      </c>
      <c r="X435" s="2">
        <f t="shared" ref="X435" si="979">+S435+T435++U435+V435-W435</f>
        <v>14.43</v>
      </c>
      <c r="Y435" s="6">
        <f t="shared" ref="Y435" si="980">+Q435-X435</f>
        <v>10.440000000000001</v>
      </c>
      <c r="Z435" s="2"/>
      <c r="AA435" s="2"/>
      <c r="AB435" s="2"/>
      <c r="AC435" s="3"/>
      <c r="AD435" s="2"/>
      <c r="AE435" s="2"/>
      <c r="AF435" s="2"/>
      <c r="AG435" s="2"/>
      <c r="AH435" s="2" t="s">
        <v>5843</v>
      </c>
      <c r="AI435" s="2" t="s">
        <v>5842</v>
      </c>
      <c r="AJ435" s="2"/>
      <c r="AK435" s="2"/>
      <c r="AL435" s="2" t="s">
        <v>5966</v>
      </c>
      <c r="AM435" s="2" t="s">
        <v>5965</v>
      </c>
      <c r="AN435" s="2"/>
      <c r="AO435" s="2" t="s">
        <v>5939</v>
      </c>
      <c r="AP435" s="2" t="s">
        <v>5515</v>
      </c>
      <c r="AQ435" s="2"/>
      <c r="AR435" s="16" t="s">
        <v>6021</v>
      </c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</row>
    <row r="436" spans="3:58" ht="17.25" customHeight="1">
      <c r="C436" s="1">
        <v>43991</v>
      </c>
      <c r="E436" s="2" t="s">
        <v>5625</v>
      </c>
      <c r="F436" s="15"/>
      <c r="G436" s="2" t="s">
        <v>5837</v>
      </c>
      <c r="H436" s="2" t="s">
        <v>5836</v>
      </c>
      <c r="I436" s="2"/>
      <c r="J436" s="2">
        <v>1</v>
      </c>
      <c r="K436" s="2"/>
      <c r="L436" s="3">
        <v>84.5</v>
      </c>
      <c r="M436" s="3">
        <v>8.4499999999999993</v>
      </c>
      <c r="N436" s="3">
        <v>4.2699999999999996</v>
      </c>
      <c r="O436" s="3">
        <v>5.7</v>
      </c>
      <c r="P436" s="3">
        <f>5.7-5.7</f>
        <v>0</v>
      </c>
      <c r="Q436" s="6">
        <f t="shared" ref="Q436" si="981">+L436-M436-N436+P436</f>
        <v>71.78</v>
      </c>
      <c r="R436" s="3"/>
      <c r="S436" s="3">
        <v>65.19</v>
      </c>
      <c r="T436" s="3">
        <v>4.4000000000000004</v>
      </c>
      <c r="U436" s="3"/>
      <c r="V436" s="3"/>
      <c r="W436" s="3">
        <f>6.51+0.44</f>
        <v>6.95</v>
      </c>
      <c r="X436" s="2">
        <f t="shared" ref="X436" si="982">+S436+T436++U436+V436-W436</f>
        <v>62.64</v>
      </c>
      <c r="Y436" s="6">
        <f t="shared" ref="Y436" si="983">+Q436-X436</f>
        <v>9.14</v>
      </c>
      <c r="Z436" s="6">
        <f>SUM(Y434:Y436)</f>
        <v>27.770000000000003</v>
      </c>
      <c r="AA436" s="2"/>
      <c r="AB436" s="2"/>
      <c r="AC436" s="3"/>
      <c r="AD436" s="2"/>
      <c r="AE436" s="2"/>
      <c r="AF436" s="2"/>
      <c r="AG436" s="2"/>
      <c r="AH436" s="2" t="s">
        <v>5839</v>
      </c>
      <c r="AI436" s="2" t="s">
        <v>5838</v>
      </c>
      <c r="AJ436" s="2"/>
      <c r="AK436" s="2"/>
      <c r="AL436" s="2" t="s">
        <v>5970</v>
      </c>
      <c r="AM436" s="16" t="s">
        <v>6181</v>
      </c>
      <c r="AN436" s="2"/>
      <c r="AO436" s="2" t="s">
        <v>6141</v>
      </c>
      <c r="AP436" s="2" t="s">
        <v>3696</v>
      </c>
      <c r="AQ436" s="2"/>
      <c r="AR436" s="16" t="s">
        <v>6142</v>
      </c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</row>
    <row r="437" spans="3:58" ht="17.25" customHeight="1">
      <c r="C437" s="1">
        <v>43990</v>
      </c>
      <c r="E437" s="2" t="s">
        <v>5817</v>
      </c>
      <c r="F437" s="15"/>
      <c r="G437" s="2" t="s">
        <v>5816</v>
      </c>
      <c r="H437" s="2" t="s">
        <v>5815</v>
      </c>
      <c r="I437" s="2"/>
      <c r="J437" s="2">
        <v>1</v>
      </c>
      <c r="K437" s="2"/>
      <c r="L437" s="3">
        <v>41.7</v>
      </c>
      <c r="M437" s="3">
        <v>4.17</v>
      </c>
      <c r="N437" s="3">
        <v>2.25</v>
      </c>
      <c r="O437" s="3">
        <v>2.61</v>
      </c>
      <c r="P437" s="3">
        <f>2.61-2.61</f>
        <v>0</v>
      </c>
      <c r="Q437" s="6">
        <f t="shared" ref="Q437" si="984">+L437-M437-N437+P437</f>
        <v>35.28</v>
      </c>
      <c r="R437" s="3"/>
      <c r="S437" s="3">
        <v>29.16</v>
      </c>
      <c r="T437" s="3">
        <v>1.82</v>
      </c>
      <c r="U437" s="3"/>
      <c r="V437" s="3"/>
      <c r="W437" s="3"/>
      <c r="X437" s="2">
        <f t="shared" ref="X437" si="985">+S437+T437++U437+V437-W437</f>
        <v>30.98</v>
      </c>
      <c r="Y437" s="6">
        <f t="shared" ref="Y437" si="986">+Q437-X437</f>
        <v>4.3000000000000007</v>
      </c>
      <c r="Z437" s="2"/>
      <c r="AA437" s="2"/>
      <c r="AB437" s="2"/>
      <c r="AC437" s="3"/>
      <c r="AD437" s="2"/>
      <c r="AE437" s="2"/>
      <c r="AF437" s="2"/>
      <c r="AG437" s="2"/>
      <c r="AH437" s="2" t="s">
        <v>5819</v>
      </c>
      <c r="AI437" s="2" t="s">
        <v>5818</v>
      </c>
      <c r="AJ437" s="2"/>
      <c r="AK437" s="2"/>
      <c r="AL437" s="2" t="s">
        <v>5966</v>
      </c>
      <c r="AM437" s="2" t="s">
        <v>5968</v>
      </c>
      <c r="AN437" s="2"/>
      <c r="AO437" s="2" t="s">
        <v>5940</v>
      </c>
      <c r="AP437" s="2" t="s">
        <v>5941</v>
      </c>
      <c r="AQ437" s="2"/>
      <c r="AR437" s="16" t="s">
        <v>6014</v>
      </c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</row>
    <row r="438" spans="3:58" ht="17.25" customHeight="1">
      <c r="C438" s="1">
        <v>43990</v>
      </c>
      <c r="E438" s="2" t="s">
        <v>1922</v>
      </c>
      <c r="F438" s="15"/>
      <c r="G438" s="2" t="s">
        <v>5814</v>
      </c>
      <c r="H438" s="2" t="s">
        <v>5813</v>
      </c>
      <c r="I438" s="2"/>
      <c r="J438" s="2">
        <v>1</v>
      </c>
      <c r="K438" s="2"/>
      <c r="L438" s="3">
        <v>22.95</v>
      </c>
      <c r="M438" s="3">
        <v>2.29</v>
      </c>
      <c r="N438" s="3">
        <v>1.37</v>
      </c>
      <c r="O438" s="3">
        <v>1.43</v>
      </c>
      <c r="P438" s="3">
        <f>1.43-1.43</f>
        <v>0</v>
      </c>
      <c r="Q438" s="6">
        <f t="shared" ref="Q438" si="987">+L438-M438-N438+P438</f>
        <v>19.29</v>
      </c>
      <c r="R438" s="3"/>
      <c r="S438" s="3">
        <v>11.95</v>
      </c>
      <c r="T438" s="3">
        <v>0.75</v>
      </c>
      <c r="U438" s="3"/>
      <c r="V438" s="3"/>
      <c r="W438" s="3"/>
      <c r="X438" s="3">
        <f t="shared" ref="X438" si="988">+S438+T438++U438+V438-W438</f>
        <v>12.7</v>
      </c>
      <c r="Y438" s="6">
        <f t="shared" ref="Y438" si="989">+Q438-X438</f>
        <v>6.59</v>
      </c>
      <c r="Z438" s="2"/>
      <c r="AA438" s="2"/>
      <c r="AB438" s="2"/>
      <c r="AC438" s="3"/>
      <c r="AD438" s="2"/>
      <c r="AE438" s="2"/>
      <c r="AF438" s="2"/>
      <c r="AG438" s="2"/>
      <c r="AH438" s="2" t="s">
        <v>5812</v>
      </c>
      <c r="AI438" s="2" t="s">
        <v>5811</v>
      </c>
      <c r="AJ438" s="2"/>
      <c r="AK438" s="2"/>
      <c r="AL438" s="2" t="s">
        <v>5426</v>
      </c>
      <c r="AM438" s="2" t="s">
        <v>5847</v>
      </c>
      <c r="AN438" s="2"/>
      <c r="AO438" s="2" t="s">
        <v>5831</v>
      </c>
      <c r="AP438" s="2" t="s">
        <v>5412</v>
      </c>
      <c r="AQ438" s="2"/>
      <c r="AR438" s="16" t="s">
        <v>5620</v>
      </c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</row>
    <row r="439" spans="3:58" ht="17.25" customHeight="1">
      <c r="C439" s="1">
        <v>43990</v>
      </c>
      <c r="E439" s="2" t="s">
        <v>1922</v>
      </c>
      <c r="F439" s="15"/>
      <c r="G439" s="2" t="s">
        <v>5793</v>
      </c>
      <c r="H439" s="2" t="s">
        <v>5878</v>
      </c>
      <c r="I439" s="2"/>
      <c r="J439" s="2">
        <v>1</v>
      </c>
      <c r="K439" s="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2"/>
      <c r="AA439" s="2"/>
      <c r="AB439" s="2"/>
      <c r="AC439" s="3"/>
      <c r="AD439" s="2"/>
      <c r="AE439" s="2"/>
      <c r="AF439" s="2"/>
      <c r="AG439" s="2"/>
      <c r="AH439" s="5" t="s">
        <v>5407</v>
      </c>
      <c r="AI439" s="5" t="s">
        <v>5407</v>
      </c>
      <c r="AJ439" s="2"/>
      <c r="AK439" s="2"/>
      <c r="AL439" s="2"/>
      <c r="AM439" s="2"/>
      <c r="AN439" s="2"/>
      <c r="AO439" s="5" t="s">
        <v>5407</v>
      </c>
      <c r="AP439" s="5" t="s">
        <v>5407</v>
      </c>
      <c r="AQ439" s="5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</row>
    <row r="440" spans="3:58" ht="17.25" customHeight="1">
      <c r="C440" s="1">
        <v>43990</v>
      </c>
      <c r="E440" s="2" t="s">
        <v>1922</v>
      </c>
      <c r="F440" s="15"/>
      <c r="G440" s="2" t="s">
        <v>5793</v>
      </c>
      <c r="H440" s="2" t="s">
        <v>5796</v>
      </c>
      <c r="I440" s="2"/>
      <c r="J440" s="2">
        <v>1</v>
      </c>
      <c r="K440" s="2"/>
      <c r="L440" s="3">
        <v>22.95</v>
      </c>
      <c r="M440" s="3">
        <v>2.29</v>
      </c>
      <c r="N440" s="3">
        <v>1.41</v>
      </c>
      <c r="O440" s="3"/>
      <c r="P440" s="3">
        <v>2.2999999999999998</v>
      </c>
      <c r="Q440" s="6">
        <f t="shared" ref="Q440:Q441" si="990">+L440-M440-N440+P440</f>
        <v>21.55</v>
      </c>
      <c r="R440" s="3"/>
      <c r="S440" s="3">
        <v>11.95</v>
      </c>
      <c r="T440" s="3">
        <v>1.2</v>
      </c>
      <c r="U440" s="3"/>
      <c r="V440" s="3"/>
      <c r="W440" s="3"/>
      <c r="X440" s="3">
        <f t="shared" ref="X440:X441" si="991">+S440+T440++U440+V440-W440</f>
        <v>13.149999999999999</v>
      </c>
      <c r="Y440" s="6">
        <f t="shared" ref="Y440:Y441" si="992">+Q440-X440</f>
        <v>8.4000000000000021</v>
      </c>
      <c r="Z440" s="2"/>
      <c r="AA440" s="2"/>
      <c r="AB440" s="2"/>
      <c r="AC440" s="3"/>
      <c r="AD440" s="2"/>
      <c r="AE440" s="2"/>
      <c r="AF440" s="2"/>
      <c r="AG440" s="2"/>
      <c r="AH440" s="2" t="s">
        <v>5795</v>
      </c>
      <c r="AI440" s="2" t="s">
        <v>5794</v>
      </c>
      <c r="AJ440" s="2"/>
      <c r="AK440" s="2"/>
      <c r="AL440" s="2" t="s">
        <v>5426</v>
      </c>
      <c r="AM440" s="2" t="s">
        <v>5920</v>
      </c>
      <c r="AN440" s="2"/>
      <c r="AO440" s="2" t="s">
        <v>5830</v>
      </c>
      <c r="AP440" s="2" t="s">
        <v>5412</v>
      </c>
      <c r="AQ440" s="2"/>
      <c r="AR440" s="16" t="s">
        <v>5922</v>
      </c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</row>
    <row r="441" spans="3:58" ht="17.25" customHeight="1">
      <c r="C441" s="1">
        <v>43990</v>
      </c>
      <c r="E441" s="2" t="s">
        <v>772</v>
      </c>
      <c r="F441" s="15"/>
      <c r="G441" s="2" t="s">
        <v>5802</v>
      </c>
      <c r="H441" s="2" t="s">
        <v>5801</v>
      </c>
      <c r="I441" s="2"/>
      <c r="J441" s="2">
        <v>1</v>
      </c>
      <c r="K441" s="2"/>
      <c r="L441" s="3">
        <v>35.85</v>
      </c>
      <c r="M441" s="3">
        <v>3.58</v>
      </c>
      <c r="N441" s="3">
        <v>1.98</v>
      </c>
      <c r="O441" s="3">
        <v>2.38</v>
      </c>
      <c r="P441" s="3">
        <f>2.38-2.38</f>
        <v>0</v>
      </c>
      <c r="Q441" s="6">
        <f t="shared" si="990"/>
        <v>30.290000000000003</v>
      </c>
      <c r="R441" s="3"/>
      <c r="S441" s="3">
        <v>19.899999999999999</v>
      </c>
      <c r="T441" s="3">
        <v>1.32</v>
      </c>
      <c r="U441" s="3"/>
      <c r="V441" s="3"/>
      <c r="W441" s="3"/>
      <c r="X441" s="2">
        <f t="shared" si="991"/>
        <v>21.22</v>
      </c>
      <c r="Y441" s="6">
        <f t="shared" si="992"/>
        <v>9.0700000000000038</v>
      </c>
      <c r="Z441" s="2"/>
      <c r="AA441" s="2"/>
      <c r="AB441" s="2"/>
      <c r="AC441" s="3"/>
      <c r="AD441" s="2"/>
      <c r="AE441" s="2"/>
      <c r="AF441" s="2"/>
      <c r="AG441" s="2"/>
      <c r="AH441" s="2" t="s">
        <v>5804</v>
      </c>
      <c r="AI441" s="2" t="s">
        <v>5803</v>
      </c>
      <c r="AJ441" s="2"/>
      <c r="AK441" s="2"/>
      <c r="AL441" s="2" t="s">
        <v>5950</v>
      </c>
      <c r="AM441" s="2" t="s">
        <v>5949</v>
      </c>
      <c r="AN441" s="2"/>
      <c r="AO441" s="2" t="s">
        <v>5805</v>
      </c>
      <c r="AP441" s="2" t="s">
        <v>5412</v>
      </c>
      <c r="AQ441" s="2"/>
      <c r="AR441" s="16" t="s">
        <v>4072</v>
      </c>
      <c r="AS441" s="2" t="s">
        <v>5967</v>
      </c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</row>
    <row r="442" spans="3:58" ht="17.25" customHeight="1">
      <c r="C442" s="1">
        <v>43990</v>
      </c>
      <c r="E442" s="2" t="s">
        <v>1922</v>
      </c>
      <c r="F442" s="15"/>
      <c r="G442" s="2" t="s">
        <v>5798</v>
      </c>
      <c r="H442" s="2" t="s">
        <v>5797</v>
      </c>
      <c r="I442" s="2"/>
      <c r="J442" s="2">
        <v>1</v>
      </c>
      <c r="K442" s="2"/>
      <c r="L442" s="3">
        <v>22.95</v>
      </c>
      <c r="M442" s="3">
        <v>2.29</v>
      </c>
      <c r="N442" s="3">
        <v>1.38</v>
      </c>
      <c r="O442" s="3">
        <v>1.66</v>
      </c>
      <c r="P442" s="3">
        <f>1.66-1.66</f>
        <v>0</v>
      </c>
      <c r="Q442" s="6">
        <f t="shared" ref="Q442" si="993">+L442-M442-N442+P442</f>
        <v>19.28</v>
      </c>
      <c r="R442" s="3"/>
      <c r="S442" s="3">
        <v>11.95</v>
      </c>
      <c r="T442" s="3">
        <v>0.87</v>
      </c>
      <c r="U442" s="3"/>
      <c r="V442" s="3"/>
      <c r="W442" s="3"/>
      <c r="X442" s="3">
        <f t="shared" ref="X442" si="994">+S442+T442++U442+V442-W442</f>
        <v>12.819999999999999</v>
      </c>
      <c r="Y442" s="6">
        <f t="shared" ref="Y442" si="995">+Q442-X442</f>
        <v>6.4600000000000026</v>
      </c>
      <c r="Z442" s="2"/>
      <c r="AA442" s="2"/>
      <c r="AB442" s="2"/>
      <c r="AC442" s="3"/>
      <c r="AD442" s="2"/>
      <c r="AE442" s="2"/>
      <c r="AF442" s="2"/>
      <c r="AG442" s="2"/>
      <c r="AH442" s="2" t="s">
        <v>5800</v>
      </c>
      <c r="AI442" s="2" t="s">
        <v>5799</v>
      </c>
      <c r="AJ442" s="2"/>
      <c r="AK442" s="2"/>
      <c r="AL442" s="2" t="s">
        <v>5426</v>
      </c>
      <c r="AM442" s="2" t="s">
        <v>5877</v>
      </c>
      <c r="AN442" s="2"/>
      <c r="AO442" s="2" t="s">
        <v>5829</v>
      </c>
      <c r="AP442" s="2" t="s">
        <v>5412</v>
      </c>
      <c r="AQ442" s="2"/>
      <c r="AR442" s="16" t="s">
        <v>5786</v>
      </c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</row>
    <row r="443" spans="3:58" ht="17.25" customHeight="1">
      <c r="C443" s="1">
        <v>43990</v>
      </c>
      <c r="E443" s="2" t="s">
        <v>5401</v>
      </c>
      <c r="F443" s="15"/>
      <c r="G443" s="2" t="s">
        <v>5779</v>
      </c>
      <c r="H443" s="2" t="s">
        <v>5778</v>
      </c>
      <c r="I443" s="2"/>
      <c r="J443" s="2">
        <v>1</v>
      </c>
      <c r="K443" s="2"/>
      <c r="L443" s="3">
        <v>19.649999999999999</v>
      </c>
      <c r="M443" s="3">
        <v>1.96</v>
      </c>
      <c r="N443" s="3">
        <v>1.24</v>
      </c>
      <c r="O443" s="3"/>
      <c r="P443" s="3">
        <v>1.69</v>
      </c>
      <c r="Q443" s="6">
        <f t="shared" ref="Q443" si="996">+L443-M443-N443+P443</f>
        <v>18.14</v>
      </c>
      <c r="R443" s="3"/>
      <c r="S443" s="3">
        <v>12.3</v>
      </c>
      <c r="T443" s="3">
        <v>0.77</v>
      </c>
      <c r="U443" s="3"/>
      <c r="V443" s="3"/>
      <c r="W443" s="3">
        <v>0</v>
      </c>
      <c r="X443" s="2">
        <f t="shared" ref="X443" si="997">+S443+T443++U443+V443-W443</f>
        <v>13.07</v>
      </c>
      <c r="Y443" s="6">
        <f t="shared" ref="Y443" si="998">+Q443-X443</f>
        <v>5.07</v>
      </c>
      <c r="Z443" s="2"/>
      <c r="AA443" s="2"/>
      <c r="AB443" s="2"/>
      <c r="AC443" s="3"/>
      <c r="AD443" s="2"/>
      <c r="AE443" s="2"/>
      <c r="AF443" s="2"/>
      <c r="AG443" s="2"/>
      <c r="AH443" s="2" t="s">
        <v>5781</v>
      </c>
      <c r="AI443" s="2" t="s">
        <v>5780</v>
      </c>
      <c r="AJ443" s="2"/>
      <c r="AK443" s="2"/>
      <c r="AL443" s="2" t="s">
        <v>2926</v>
      </c>
      <c r="AM443" s="16" t="s">
        <v>6127</v>
      </c>
      <c r="AN443" s="2"/>
      <c r="AO443" s="2" t="s">
        <v>5999</v>
      </c>
      <c r="AP443" s="2" t="s">
        <v>3914</v>
      </c>
      <c r="AQ443" s="2"/>
      <c r="AR443" s="16" t="s">
        <v>5998</v>
      </c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</row>
    <row r="444" spans="3:58" ht="17.25" customHeight="1">
      <c r="C444" s="1">
        <v>43990</v>
      </c>
      <c r="E444" s="2" t="s">
        <v>1922</v>
      </c>
      <c r="F444" s="15"/>
      <c r="G444" s="2" t="s">
        <v>5775</v>
      </c>
      <c r="H444" s="2" t="s">
        <v>5774</v>
      </c>
      <c r="I444" s="2"/>
      <c r="J444" s="2">
        <v>1</v>
      </c>
      <c r="K444" s="2"/>
      <c r="L444" s="3">
        <v>22.95</v>
      </c>
      <c r="M444" s="3">
        <v>2.29</v>
      </c>
      <c r="N444" s="3">
        <v>1.39</v>
      </c>
      <c r="O444" s="3">
        <v>1.84</v>
      </c>
      <c r="P444" s="3">
        <f>1.84-1.84</f>
        <v>0</v>
      </c>
      <c r="Q444" s="6">
        <f t="shared" ref="Q444" si="999">+L444-M444-N444+P444</f>
        <v>19.27</v>
      </c>
      <c r="R444" s="3"/>
      <c r="S444" s="3">
        <v>11.95</v>
      </c>
      <c r="T444" s="3">
        <v>0.96</v>
      </c>
      <c r="U444" s="3"/>
      <c r="V444" s="3"/>
      <c r="W444" s="3"/>
      <c r="X444" s="3">
        <f t="shared" ref="X444" si="1000">+S444+T444++U444+V444-W444</f>
        <v>12.91</v>
      </c>
      <c r="Y444" s="6">
        <f t="shared" ref="Y444" si="1001">+Q444-X444</f>
        <v>6.3599999999999994</v>
      </c>
      <c r="Z444" s="2"/>
      <c r="AA444" s="2"/>
      <c r="AB444" s="2"/>
      <c r="AC444" s="3"/>
      <c r="AD444" s="2"/>
      <c r="AE444" s="2"/>
      <c r="AF444" s="2"/>
      <c r="AG444" s="2"/>
      <c r="AH444" s="2" t="s">
        <v>5777</v>
      </c>
      <c r="AI444" s="2" t="s">
        <v>5776</v>
      </c>
      <c r="AJ444" s="2"/>
      <c r="AK444" s="2"/>
      <c r="AL444" s="2" t="s">
        <v>2926</v>
      </c>
      <c r="AM444" s="16" t="s">
        <v>6001</v>
      </c>
      <c r="AN444" s="2"/>
      <c r="AO444" s="2" t="s">
        <v>5828</v>
      </c>
      <c r="AP444" s="2" t="s">
        <v>5412</v>
      </c>
      <c r="AQ444" s="2"/>
      <c r="AR444" s="16" t="s">
        <v>5789</v>
      </c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</row>
    <row r="445" spans="3:58" ht="17.25" customHeight="1">
      <c r="C445" s="1">
        <v>43990</v>
      </c>
      <c r="E445" s="2" t="s">
        <v>5754</v>
      </c>
      <c r="F445" s="15"/>
      <c r="G445" s="2" t="s">
        <v>5756</v>
      </c>
      <c r="H445" s="2" t="s">
        <v>5755</v>
      </c>
      <c r="I445" s="2"/>
      <c r="J445" s="2">
        <v>1</v>
      </c>
      <c r="K445" s="2"/>
      <c r="L445" s="3">
        <v>59.5</v>
      </c>
      <c r="M445" s="3">
        <v>5.95</v>
      </c>
      <c r="N445" s="3">
        <v>3.12</v>
      </c>
      <c r="O445" s="3">
        <v>4.6100000000000003</v>
      </c>
      <c r="P445" s="3">
        <f>4.61-4.61</f>
        <v>0</v>
      </c>
      <c r="Q445" s="6">
        <f t="shared" ref="Q445:Q446" si="1002">+L445-M445-N445+P445</f>
        <v>50.43</v>
      </c>
      <c r="R445" s="3"/>
      <c r="S445" s="3">
        <v>44.4</v>
      </c>
      <c r="T445" s="3">
        <v>3.44</v>
      </c>
      <c r="U445" s="3"/>
      <c r="V445" s="3"/>
      <c r="W445" s="3"/>
      <c r="X445" s="2">
        <f t="shared" ref="X445:X446" si="1003">+S445+T445++U445+V445-W445</f>
        <v>47.839999999999996</v>
      </c>
      <c r="Y445" s="6">
        <f t="shared" ref="Y445:Y446" si="1004">+Q445-X445</f>
        <v>2.5900000000000034</v>
      </c>
      <c r="Z445" s="2"/>
      <c r="AA445" s="2"/>
      <c r="AB445" s="2"/>
      <c r="AC445" s="3"/>
      <c r="AD445" s="2"/>
      <c r="AE445" s="2"/>
      <c r="AF445" s="2"/>
      <c r="AG445" s="2"/>
      <c r="AH445" s="2" t="s">
        <v>5758</v>
      </c>
      <c r="AI445" s="2" t="s">
        <v>5757</v>
      </c>
      <c r="AJ445" s="2"/>
      <c r="AK445" s="2"/>
      <c r="AL445" s="2" t="s">
        <v>5448</v>
      </c>
      <c r="AM445" s="2" t="s">
        <v>5825</v>
      </c>
      <c r="AN445" s="2"/>
      <c r="AO445" s="2" t="s">
        <v>5759</v>
      </c>
      <c r="AP445" s="2" t="s">
        <v>5515</v>
      </c>
      <c r="AQ445" s="2"/>
      <c r="AR445" s="16" t="s">
        <v>5760</v>
      </c>
      <c r="AS445" s="2" t="s">
        <v>6179</v>
      </c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</row>
    <row r="446" spans="3:58" ht="17.25" customHeight="1">
      <c r="C446" s="1">
        <v>43990</v>
      </c>
      <c r="E446" s="2" t="s">
        <v>5742</v>
      </c>
      <c r="F446" s="15"/>
      <c r="G446" s="2" t="s">
        <v>5937</v>
      </c>
      <c r="H446" s="2" t="s">
        <v>5771</v>
      </c>
      <c r="I446" s="2"/>
      <c r="J446" s="2">
        <v>1</v>
      </c>
      <c r="K446" s="2"/>
      <c r="L446" s="3">
        <v>29.5</v>
      </c>
      <c r="M446" s="3">
        <v>2.95</v>
      </c>
      <c r="N446" s="3">
        <v>1.67</v>
      </c>
      <c r="O446" s="3">
        <v>1.62</v>
      </c>
      <c r="P446" s="3">
        <f>1.62-1.62</f>
        <v>0</v>
      </c>
      <c r="Q446" s="6">
        <f t="shared" si="1002"/>
        <v>24.880000000000003</v>
      </c>
      <c r="R446" s="3"/>
      <c r="S446" s="3">
        <v>14.98</v>
      </c>
      <c r="T446" s="3">
        <v>0.74</v>
      </c>
      <c r="U446" s="3">
        <v>0</v>
      </c>
      <c r="V446" s="3"/>
      <c r="W446" s="3">
        <v>1.49</v>
      </c>
      <c r="X446" s="2">
        <f t="shared" si="1003"/>
        <v>14.23</v>
      </c>
      <c r="Y446" s="6">
        <f t="shared" si="1004"/>
        <v>10.650000000000002</v>
      </c>
      <c r="Z446" s="2"/>
      <c r="AA446" s="2"/>
      <c r="AB446" s="2"/>
      <c r="AC446" s="3"/>
      <c r="AD446" s="2"/>
      <c r="AE446" s="2"/>
      <c r="AF446" s="2"/>
      <c r="AG446" s="2"/>
      <c r="AH446" s="2" t="s">
        <v>5773</v>
      </c>
      <c r="AI446" s="2" t="s">
        <v>5772</v>
      </c>
      <c r="AJ446" s="2"/>
      <c r="AK446" s="2"/>
      <c r="AL446" s="2" t="s">
        <v>2926</v>
      </c>
      <c r="AM446" s="16" t="s">
        <v>6000</v>
      </c>
      <c r="AN446" s="2"/>
      <c r="AO446" s="2" t="s">
        <v>5935</v>
      </c>
      <c r="AP446" s="2" t="s">
        <v>5515</v>
      </c>
      <c r="AQ446" s="2"/>
      <c r="AR446" s="16" t="s">
        <v>5936</v>
      </c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</row>
    <row r="447" spans="3:58" ht="17.25" customHeight="1">
      <c r="C447" s="1">
        <v>43990</v>
      </c>
      <c r="E447" s="2" t="s">
        <v>1922</v>
      </c>
      <c r="F447" s="15"/>
      <c r="G447" s="2" t="s">
        <v>5768</v>
      </c>
      <c r="H447" s="2" t="s">
        <v>5806</v>
      </c>
      <c r="I447" s="2"/>
      <c r="J447" s="2">
        <v>1</v>
      </c>
      <c r="K447" s="2"/>
      <c r="L447" s="3">
        <v>22.95</v>
      </c>
      <c r="M447" s="3">
        <v>2.29</v>
      </c>
      <c r="N447" s="3">
        <v>1.37</v>
      </c>
      <c r="O447" s="3">
        <v>1.66</v>
      </c>
      <c r="P447" s="3">
        <f>1.66-1.66</f>
        <v>0</v>
      </c>
      <c r="Q447" s="6">
        <f t="shared" ref="Q447" si="1005">+L447-M447-N447+P447</f>
        <v>19.29</v>
      </c>
      <c r="R447" s="3"/>
      <c r="S447" s="3">
        <v>11.95</v>
      </c>
      <c r="T447" s="3">
        <v>0.75</v>
      </c>
      <c r="U447" s="3"/>
      <c r="V447" s="3"/>
      <c r="W447" s="3"/>
      <c r="X447" s="3">
        <f t="shared" ref="X447" si="1006">+S447+T447++U447+V447-W447</f>
        <v>12.7</v>
      </c>
      <c r="Y447" s="6">
        <f t="shared" ref="Y447" si="1007">+Q447-X447</f>
        <v>6.59</v>
      </c>
      <c r="Z447" s="2"/>
      <c r="AA447" s="2"/>
      <c r="AB447" s="2"/>
      <c r="AC447" s="3"/>
      <c r="AD447" s="2"/>
      <c r="AE447" s="2"/>
      <c r="AF447" s="2"/>
      <c r="AG447" s="2"/>
      <c r="AH447" s="2" t="s">
        <v>5770</v>
      </c>
      <c r="AI447" s="2" t="s">
        <v>5769</v>
      </c>
      <c r="AJ447" s="2"/>
      <c r="AK447" s="2"/>
      <c r="AL447" s="2" t="s">
        <v>5426</v>
      </c>
      <c r="AM447" s="2" t="s">
        <v>5853</v>
      </c>
      <c r="AN447" s="2"/>
      <c r="AO447" s="2" t="s">
        <v>5788</v>
      </c>
      <c r="AP447" s="2" t="s">
        <v>5412</v>
      </c>
      <c r="AQ447" s="2"/>
      <c r="AR447" s="16" t="s">
        <v>5789</v>
      </c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</row>
    <row r="448" spans="3:58" ht="17.25" customHeight="1">
      <c r="C448" s="1">
        <v>43990</v>
      </c>
      <c r="E448" s="2" t="s">
        <v>5401</v>
      </c>
      <c r="F448" s="15"/>
      <c r="G448" s="2" t="s">
        <v>5738</v>
      </c>
      <c r="H448" s="2" t="s">
        <v>5737</v>
      </c>
      <c r="I448" s="2"/>
      <c r="J448" s="2">
        <v>1</v>
      </c>
      <c r="K448" s="2"/>
      <c r="L448" s="3">
        <v>19.649999999999999</v>
      </c>
      <c r="M448" s="3">
        <v>1.96</v>
      </c>
      <c r="N448" s="3">
        <v>1.23</v>
      </c>
      <c r="O448" s="3">
        <v>1.23</v>
      </c>
      <c r="P448" s="3">
        <f>1.23-1.23</f>
        <v>0</v>
      </c>
      <c r="Q448" s="6">
        <f t="shared" ref="Q448" si="1008">+L448-M448-N448+P448</f>
        <v>16.459999999999997</v>
      </c>
      <c r="R448" s="3"/>
      <c r="S448" s="3">
        <v>12.3</v>
      </c>
      <c r="T448" s="3">
        <v>0.86</v>
      </c>
      <c r="U448" s="3"/>
      <c r="V448" s="3"/>
      <c r="W448" s="3">
        <v>1.23</v>
      </c>
      <c r="X448" s="2">
        <f t="shared" ref="X448" si="1009">+S448+T448++U448+V448-W448</f>
        <v>11.93</v>
      </c>
      <c r="Y448" s="6">
        <f t="shared" ref="Y448" si="1010">+Q448-X448</f>
        <v>4.5299999999999976</v>
      </c>
      <c r="Z448" s="2"/>
      <c r="AA448" s="2"/>
      <c r="AB448" s="2"/>
      <c r="AC448" s="3"/>
      <c r="AD448" s="2"/>
      <c r="AE448" s="2"/>
      <c r="AF448" s="2"/>
      <c r="AG448" s="2"/>
      <c r="AH448" s="2" t="s">
        <v>5740</v>
      </c>
      <c r="AI448" s="2" t="s">
        <v>5739</v>
      </c>
      <c r="AJ448" s="2"/>
      <c r="AK448" s="2"/>
      <c r="AL448" s="2" t="s">
        <v>2926</v>
      </c>
      <c r="AM448" s="16" t="s">
        <v>6126</v>
      </c>
      <c r="AN448" s="2"/>
      <c r="AO448" s="2" t="s">
        <v>5997</v>
      </c>
      <c r="AP448" s="2" t="s">
        <v>3914</v>
      </c>
      <c r="AQ448" s="2"/>
      <c r="AR448" s="16" t="s">
        <v>5998</v>
      </c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</row>
    <row r="449" spans="3:58" ht="17.25" customHeight="1">
      <c r="C449" s="1">
        <v>43990</v>
      </c>
      <c r="E449" s="2" t="s">
        <v>5709</v>
      </c>
      <c r="F449" s="15"/>
      <c r="G449" s="2" t="s">
        <v>5712</v>
      </c>
      <c r="H449" s="2" t="s">
        <v>5711</v>
      </c>
      <c r="I449" s="2"/>
      <c r="J449" s="2">
        <v>1</v>
      </c>
      <c r="K449" s="2"/>
      <c r="L449" s="3">
        <v>72.5</v>
      </c>
      <c r="M449" s="3">
        <v>7.25</v>
      </c>
      <c r="N449" s="3">
        <v>3.82</v>
      </c>
      <c r="O449" s="3">
        <v>7.43</v>
      </c>
      <c r="P449" s="3">
        <f>7.43-7.43</f>
        <v>0</v>
      </c>
      <c r="Q449" s="6">
        <f t="shared" ref="Q449:Q450" si="1011">+L449-M449-N449+P449</f>
        <v>61.43</v>
      </c>
      <c r="R449" s="3"/>
      <c r="S449" s="3">
        <v>46.99</v>
      </c>
      <c r="T449" s="3">
        <v>0</v>
      </c>
      <c r="U449" s="3">
        <v>4.99</v>
      </c>
      <c r="V449" s="3"/>
      <c r="W449" s="3">
        <v>4.59</v>
      </c>
      <c r="X449" s="3">
        <f t="shared" ref="X449:X450" si="1012">+S449+T449++U449+V449-W449</f>
        <v>47.39</v>
      </c>
      <c r="Y449" s="6">
        <f t="shared" ref="Y449:Y450" si="1013">+Q449-X449</f>
        <v>14.04</v>
      </c>
      <c r="Z449" s="6">
        <f>SUM(Y437:Y449)</f>
        <v>84.65</v>
      </c>
      <c r="AA449" s="2"/>
      <c r="AB449" s="2"/>
      <c r="AC449" s="3"/>
      <c r="AD449" s="2"/>
      <c r="AE449" s="2"/>
      <c r="AF449" s="2"/>
      <c r="AG449" s="2"/>
      <c r="AH449" s="2" t="s">
        <v>5714</v>
      </c>
      <c r="AI449" s="2" t="s">
        <v>5713</v>
      </c>
      <c r="AJ449" s="2"/>
      <c r="AK449" s="2"/>
      <c r="AL449" s="2" t="s">
        <v>2926</v>
      </c>
      <c r="AM449" s="16" t="s">
        <v>6164</v>
      </c>
      <c r="AN449" s="2"/>
      <c r="AO449" s="2" t="s">
        <v>6038</v>
      </c>
      <c r="AP449" s="2" t="s">
        <v>5735</v>
      </c>
      <c r="AQ449" s="2"/>
      <c r="AR449" s="16" t="s">
        <v>6950</v>
      </c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</row>
    <row r="450" spans="3:58" ht="17.25" customHeight="1">
      <c r="C450" s="1">
        <v>43989</v>
      </c>
      <c r="E450" s="2" t="s">
        <v>1922</v>
      </c>
      <c r="F450" s="15"/>
      <c r="G450" s="2" t="s">
        <v>5719</v>
      </c>
      <c r="H450" s="2" t="s">
        <v>5720</v>
      </c>
      <c r="I450" s="2"/>
      <c r="J450" s="2">
        <v>1</v>
      </c>
      <c r="K450" s="2"/>
      <c r="L450" s="3">
        <v>22.95</v>
      </c>
      <c r="M450" s="3">
        <v>2.29</v>
      </c>
      <c r="N450" s="3">
        <v>1.38</v>
      </c>
      <c r="O450" s="3"/>
      <c r="P450" s="3">
        <v>1.61</v>
      </c>
      <c r="Q450" s="6">
        <f t="shared" si="1011"/>
        <v>20.89</v>
      </c>
      <c r="R450" s="3"/>
      <c r="S450" s="3">
        <v>11.95</v>
      </c>
      <c r="T450" s="3">
        <v>0.84</v>
      </c>
      <c r="U450" s="3"/>
      <c r="V450" s="3"/>
      <c r="W450" s="3"/>
      <c r="X450" s="3">
        <f t="shared" si="1012"/>
        <v>12.79</v>
      </c>
      <c r="Y450" s="6">
        <f t="shared" si="1013"/>
        <v>8.1000000000000014</v>
      </c>
      <c r="Z450" s="2"/>
      <c r="AA450" s="2"/>
      <c r="AB450" s="2"/>
      <c r="AC450" s="3"/>
      <c r="AD450" s="2"/>
      <c r="AE450" s="2"/>
      <c r="AF450" s="2"/>
      <c r="AG450" s="2"/>
      <c r="AH450" s="2" t="s">
        <v>5722</v>
      </c>
      <c r="AI450" s="2" t="s">
        <v>5721</v>
      </c>
      <c r="AJ450" s="2"/>
      <c r="AK450" s="2"/>
      <c r="AL450" s="2" t="s">
        <v>5460</v>
      </c>
      <c r="AM450" s="16" t="s">
        <v>5948</v>
      </c>
      <c r="AN450" s="2"/>
      <c r="AO450" s="2" t="s">
        <v>5785</v>
      </c>
      <c r="AP450" s="2" t="s">
        <v>5412</v>
      </c>
      <c r="AQ450" s="2"/>
      <c r="AR450" s="16" t="s">
        <v>5787</v>
      </c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</row>
    <row r="451" spans="3:58" ht="17.25" customHeight="1">
      <c r="C451" s="1">
        <v>43989</v>
      </c>
      <c r="E451" s="2" t="s">
        <v>5710</v>
      </c>
      <c r="F451" s="15"/>
      <c r="G451" s="2" t="s">
        <v>5716</v>
      </c>
      <c r="H451" s="2" t="s">
        <v>5715</v>
      </c>
      <c r="I451" s="2"/>
      <c r="J451" s="2">
        <v>1</v>
      </c>
      <c r="K451" s="2"/>
      <c r="L451" s="3">
        <v>72.5</v>
      </c>
      <c r="M451" s="3">
        <v>7.25</v>
      </c>
      <c r="N451" s="3">
        <v>3.67</v>
      </c>
      <c r="O451" s="3">
        <v>4.0599999999999996</v>
      </c>
      <c r="P451" s="3">
        <f>4.06-4.06</f>
        <v>0</v>
      </c>
      <c r="Q451" s="6">
        <f t="shared" ref="Q451:Q453" si="1014">+L451-M451-N451+P451</f>
        <v>61.58</v>
      </c>
      <c r="R451" s="3"/>
      <c r="S451" s="3">
        <v>45.99</v>
      </c>
      <c r="T451" s="3">
        <v>0</v>
      </c>
      <c r="U451" s="3">
        <v>4.99</v>
      </c>
      <c r="V451" s="3"/>
      <c r="W451" s="3">
        <v>4.59</v>
      </c>
      <c r="X451" s="3">
        <f t="shared" ref="X451:X453" si="1015">+S451+T451++U451+V451-W451</f>
        <v>46.39</v>
      </c>
      <c r="Y451" s="6">
        <f t="shared" ref="Y451:Y453" si="1016">+Q451-X451</f>
        <v>15.189999999999998</v>
      </c>
      <c r="Z451" s="2"/>
      <c r="AA451" s="2"/>
      <c r="AB451" s="2"/>
      <c r="AC451" s="3"/>
      <c r="AD451" s="2"/>
      <c r="AE451" s="2"/>
      <c r="AF451" s="2"/>
      <c r="AG451" s="2"/>
      <c r="AH451" s="2" t="s">
        <v>5718</v>
      </c>
      <c r="AI451" s="2" t="s">
        <v>5717</v>
      </c>
      <c r="AJ451" s="2"/>
      <c r="AK451" s="2"/>
      <c r="AL451" s="2" t="s">
        <v>2926</v>
      </c>
      <c r="AM451" s="16" t="s">
        <v>6163</v>
      </c>
      <c r="AN451" s="2"/>
      <c r="AO451" s="2" t="s">
        <v>6039</v>
      </c>
      <c r="AP451" s="2" t="s">
        <v>5735</v>
      </c>
      <c r="AQ451" s="2"/>
      <c r="AR451" s="2" t="s">
        <v>6260</v>
      </c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</row>
    <row r="452" spans="3:58" ht="17.25" customHeight="1">
      <c r="C452" s="1">
        <v>43989</v>
      </c>
      <c r="E452" s="2" t="s">
        <v>1922</v>
      </c>
      <c r="F452" s="15"/>
      <c r="G452" s="2" t="s">
        <v>5724</v>
      </c>
      <c r="H452" s="2" t="s">
        <v>5723</v>
      </c>
      <c r="I452" s="2"/>
      <c r="J452" s="2">
        <v>1</v>
      </c>
      <c r="K452" s="2"/>
      <c r="L452" s="3">
        <v>22.95</v>
      </c>
      <c r="M452" s="3">
        <v>2.29</v>
      </c>
      <c r="N452" s="3">
        <v>1.38</v>
      </c>
      <c r="O452" s="3">
        <v>1.66</v>
      </c>
      <c r="P452" s="3">
        <f>1.66-1.66</f>
        <v>0</v>
      </c>
      <c r="Q452" s="6">
        <f t="shared" si="1014"/>
        <v>19.28</v>
      </c>
      <c r="R452" s="3"/>
      <c r="S452" s="3">
        <v>11.95</v>
      </c>
      <c r="T452" s="3">
        <v>0.86</v>
      </c>
      <c r="U452" s="3"/>
      <c r="V452" s="3"/>
      <c r="W452" s="3"/>
      <c r="X452" s="3">
        <f t="shared" si="1015"/>
        <v>12.809999999999999</v>
      </c>
      <c r="Y452" s="6">
        <f t="shared" si="1016"/>
        <v>6.4700000000000024</v>
      </c>
      <c r="Z452" s="2"/>
      <c r="AA452" s="2"/>
      <c r="AB452" s="2"/>
      <c r="AC452" s="3"/>
      <c r="AD452" s="2"/>
      <c r="AE452" s="2"/>
      <c r="AF452" s="2"/>
      <c r="AG452" s="2"/>
      <c r="AH452" s="2" t="s">
        <v>5726</v>
      </c>
      <c r="AI452" s="2" t="s">
        <v>5725</v>
      </c>
      <c r="AJ452" s="2"/>
      <c r="AK452" s="2"/>
      <c r="AL452" s="2" t="s">
        <v>5460</v>
      </c>
      <c r="AM452" s="16" t="s">
        <v>5904</v>
      </c>
      <c r="AN452" s="2"/>
      <c r="AO452" s="2" t="s">
        <v>5784</v>
      </c>
      <c r="AP452" s="2" t="s">
        <v>5412</v>
      </c>
      <c r="AQ452" s="2"/>
      <c r="AR452" s="16" t="s">
        <v>5850</v>
      </c>
      <c r="AS452" s="16" t="s">
        <v>5849</v>
      </c>
      <c r="AT452" s="2" t="s">
        <v>5879</v>
      </c>
      <c r="AU452" s="2" t="s">
        <v>5880</v>
      </c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</row>
    <row r="453" spans="3:58" ht="17.25" customHeight="1">
      <c r="C453" s="1">
        <v>43989</v>
      </c>
      <c r="E453" s="2" t="s">
        <v>5707</v>
      </c>
      <c r="F453" s="15"/>
      <c r="G453" s="2" t="s">
        <v>5732</v>
      </c>
      <c r="H453" s="2" t="s">
        <v>5731</v>
      </c>
      <c r="I453" s="2"/>
      <c r="J453" s="2">
        <v>1</v>
      </c>
      <c r="K453" s="2"/>
      <c r="L453" s="3">
        <v>45.7</v>
      </c>
      <c r="M453" s="3">
        <v>4.57</v>
      </c>
      <c r="N453" s="3">
        <v>2.4300000000000002</v>
      </c>
      <c r="O453" s="3">
        <v>2.75</v>
      </c>
      <c r="P453" s="3">
        <f>2.75-2.75</f>
        <v>0</v>
      </c>
      <c r="Q453" s="6">
        <f t="shared" si="1014"/>
        <v>38.700000000000003</v>
      </c>
      <c r="R453" s="3"/>
      <c r="S453" s="3">
        <v>34</v>
      </c>
      <c r="T453" s="3">
        <v>2.0499999999999998</v>
      </c>
      <c r="U453" s="3"/>
      <c r="V453" s="3"/>
      <c r="W453" s="3"/>
      <c r="X453" s="3">
        <f t="shared" si="1015"/>
        <v>36.049999999999997</v>
      </c>
      <c r="Y453" s="6">
        <f t="shared" si="1016"/>
        <v>2.6500000000000057</v>
      </c>
      <c r="Z453" s="2"/>
      <c r="AA453" s="2"/>
      <c r="AB453" s="2"/>
      <c r="AC453" s="3"/>
      <c r="AD453" s="2"/>
      <c r="AE453" s="2"/>
      <c r="AF453" s="2"/>
      <c r="AG453" s="2"/>
      <c r="AH453" s="2" t="s">
        <v>5734</v>
      </c>
      <c r="AI453" s="2" t="s">
        <v>5733</v>
      </c>
      <c r="AJ453" s="2"/>
      <c r="AK453" s="2"/>
      <c r="AL453" s="2" t="s">
        <v>5426</v>
      </c>
      <c r="AM453" s="2" t="s">
        <v>5854</v>
      </c>
      <c r="AN453" s="2"/>
      <c r="AO453" s="2" t="s">
        <v>5848</v>
      </c>
      <c r="AP453" s="2" t="s">
        <v>5736</v>
      </c>
      <c r="AQ453" s="2"/>
      <c r="AR453" s="16" t="s">
        <v>5921</v>
      </c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</row>
    <row r="454" spans="3:58" ht="17.25" customHeight="1">
      <c r="C454" s="1">
        <v>43989</v>
      </c>
      <c r="E454" s="2" t="s">
        <v>772</v>
      </c>
      <c r="F454" s="15"/>
      <c r="G454" s="2" t="s">
        <v>5728</v>
      </c>
      <c r="H454" s="2" t="s">
        <v>5727</v>
      </c>
      <c r="I454" s="2"/>
      <c r="J454" s="2">
        <v>1</v>
      </c>
      <c r="K454" s="2"/>
      <c r="L454" s="3">
        <v>35.85</v>
      </c>
      <c r="M454" s="3">
        <v>3.58</v>
      </c>
      <c r="N454" s="3">
        <v>2</v>
      </c>
      <c r="O454" s="3">
        <v>2.78</v>
      </c>
      <c r="P454" s="3">
        <f>2.78-2.78</f>
        <v>0</v>
      </c>
      <c r="Q454" s="6">
        <f t="shared" ref="Q454" si="1017">+L454-M454-N454+P454</f>
        <v>30.270000000000003</v>
      </c>
      <c r="R454" s="3"/>
      <c r="S454" s="3">
        <v>19.899999999999999</v>
      </c>
      <c r="T454" s="3">
        <v>1.54</v>
      </c>
      <c r="U454" s="3"/>
      <c r="V454" s="3"/>
      <c r="W454" s="3"/>
      <c r="X454" s="2">
        <f t="shared" ref="X454" si="1018">+S454+T454++U454+V454-W454</f>
        <v>21.439999999999998</v>
      </c>
      <c r="Y454" s="6">
        <f t="shared" ref="Y454" si="1019">+Q454-X454</f>
        <v>8.8300000000000054</v>
      </c>
      <c r="Z454" s="2"/>
      <c r="AA454" s="2"/>
      <c r="AB454" s="2"/>
      <c r="AC454" s="3"/>
      <c r="AD454" s="2"/>
      <c r="AE454" s="2"/>
      <c r="AF454" s="2"/>
      <c r="AG454" s="2"/>
      <c r="AH454" s="2" t="s">
        <v>5730</v>
      </c>
      <c r="AI454" s="2" t="s">
        <v>5729</v>
      </c>
      <c r="AJ454" s="2"/>
      <c r="AK454" s="2"/>
      <c r="AL454" s="2" t="s">
        <v>5426</v>
      </c>
      <c r="AM454" s="2" t="s">
        <v>5894</v>
      </c>
      <c r="AN454" s="2"/>
      <c r="AO454" s="2" t="s">
        <v>5753</v>
      </c>
      <c r="AP454" s="2" t="s">
        <v>5412</v>
      </c>
      <c r="AQ454" s="2"/>
      <c r="AR454" s="16" t="s">
        <v>5921</v>
      </c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</row>
    <row r="455" spans="3:58" ht="17.25" customHeight="1">
      <c r="C455" s="1">
        <v>43989</v>
      </c>
      <c r="E455" s="2" t="s">
        <v>1922</v>
      </c>
      <c r="F455" s="15"/>
      <c r="G455" s="2" t="s">
        <v>5699</v>
      </c>
      <c r="H455" s="2" t="s">
        <v>5698</v>
      </c>
      <c r="I455" s="2"/>
      <c r="J455" s="2">
        <v>1</v>
      </c>
      <c r="K455" s="2"/>
      <c r="L455" s="3">
        <v>22.95</v>
      </c>
      <c r="M455" s="3">
        <v>2.29</v>
      </c>
      <c r="N455" s="3">
        <v>1.38</v>
      </c>
      <c r="O455" s="3"/>
      <c r="P455" s="3">
        <v>1.61</v>
      </c>
      <c r="Q455" s="6">
        <f t="shared" ref="Q455" si="1020">+L455-M455-N455+P455</f>
        <v>20.89</v>
      </c>
      <c r="R455" s="3"/>
      <c r="S455" s="3">
        <v>11.95</v>
      </c>
      <c r="T455" s="3">
        <v>0.84</v>
      </c>
      <c r="U455" s="3"/>
      <c r="V455" s="3"/>
      <c r="W455" s="3"/>
      <c r="X455" s="3">
        <f t="shared" ref="X455" si="1021">+S455+T455++U455+V455-W455</f>
        <v>12.79</v>
      </c>
      <c r="Y455" s="6">
        <f t="shared" ref="Y455" si="1022">+Q455-X455</f>
        <v>8.1000000000000014</v>
      </c>
      <c r="Z455" s="2"/>
      <c r="AA455" s="2"/>
      <c r="AB455" s="2"/>
      <c r="AC455" s="3"/>
      <c r="AD455" s="2"/>
      <c r="AE455" s="2"/>
      <c r="AF455" s="2"/>
      <c r="AG455" s="2"/>
      <c r="AH455" s="2" t="s">
        <v>5701</v>
      </c>
      <c r="AI455" s="2" t="s">
        <v>5700</v>
      </c>
      <c r="AJ455" s="2"/>
      <c r="AK455" s="2"/>
      <c r="AL455" s="2" t="s">
        <v>5426</v>
      </c>
      <c r="AM455" s="2" t="s">
        <v>5846</v>
      </c>
      <c r="AN455" s="2"/>
      <c r="AO455" s="2" t="s">
        <v>5783</v>
      </c>
      <c r="AP455" s="2" t="s">
        <v>5492</v>
      </c>
      <c r="AQ455" s="2"/>
      <c r="AR455" s="16" t="s">
        <v>5620</v>
      </c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</row>
    <row r="456" spans="3:58" ht="17.25" customHeight="1">
      <c r="C456" s="1">
        <v>43989</v>
      </c>
      <c r="E456" s="2" t="s">
        <v>1922</v>
      </c>
      <c r="F456" s="15"/>
      <c r="G456" s="2" t="s">
        <v>5857</v>
      </c>
      <c r="H456" s="2" t="s">
        <v>5695</v>
      </c>
      <c r="I456" s="2"/>
      <c r="J456" s="2">
        <v>1</v>
      </c>
      <c r="K456" s="2"/>
      <c r="L456" s="3">
        <v>22.95</v>
      </c>
      <c r="M456" s="3">
        <v>2.29</v>
      </c>
      <c r="N456" s="3">
        <v>1.39</v>
      </c>
      <c r="O456" s="3">
        <v>1.38</v>
      </c>
      <c r="P456" s="3">
        <f>1.38-1.38</f>
        <v>0</v>
      </c>
      <c r="Q456" s="6">
        <f t="shared" ref="Q456" si="1023">+L456-M456-N456+P456</f>
        <v>19.27</v>
      </c>
      <c r="R456" s="3"/>
      <c r="S456" s="3">
        <v>11.95</v>
      </c>
      <c r="T456" s="3">
        <v>0.96</v>
      </c>
      <c r="U456" s="3"/>
      <c r="V456" s="3"/>
      <c r="W456" s="3"/>
      <c r="X456" s="3">
        <f t="shared" ref="X456" si="1024">+S456+T456++U456+V456-W456</f>
        <v>12.91</v>
      </c>
      <c r="Y456" s="6">
        <f t="shared" ref="Y456" si="1025">+Q456-X456</f>
        <v>6.3599999999999994</v>
      </c>
      <c r="Z456" s="2"/>
      <c r="AA456" s="2"/>
      <c r="AB456" s="2"/>
      <c r="AC456" s="3"/>
      <c r="AD456" s="2"/>
      <c r="AE456" s="2"/>
      <c r="AF456" s="2"/>
      <c r="AG456" s="2"/>
      <c r="AH456" s="2" t="s">
        <v>5697</v>
      </c>
      <c r="AI456" s="2" t="s">
        <v>5696</v>
      </c>
      <c r="AJ456" s="2"/>
      <c r="AK456" s="2"/>
      <c r="AL456" s="2" t="s">
        <v>5460</v>
      </c>
      <c r="AM456" s="16" t="s">
        <v>5824</v>
      </c>
      <c r="AN456" s="2"/>
      <c r="AO456" s="2" t="s">
        <v>5782</v>
      </c>
      <c r="AP456" s="2" t="s">
        <v>5412</v>
      </c>
      <c r="AQ456" s="2"/>
      <c r="AR456" s="16" t="s">
        <v>5417</v>
      </c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</row>
    <row r="457" spans="3:58" ht="17.25" customHeight="1">
      <c r="C457" s="1">
        <v>43989</v>
      </c>
      <c r="E457" s="2" t="s">
        <v>772</v>
      </c>
      <c r="F457" s="15"/>
      <c r="G457" s="2" t="s">
        <v>5692</v>
      </c>
      <c r="H457" s="2" t="s">
        <v>5691</v>
      </c>
      <c r="I457" s="2"/>
      <c r="J457" s="2">
        <v>1</v>
      </c>
      <c r="K457" s="2"/>
      <c r="L457" s="3">
        <v>35.85</v>
      </c>
      <c r="M457" s="3">
        <v>3.58</v>
      </c>
      <c r="N457" s="3">
        <v>1.98</v>
      </c>
      <c r="O457" s="3">
        <v>2.2400000000000002</v>
      </c>
      <c r="P457" s="3">
        <f>2.24-2.24</f>
        <v>0</v>
      </c>
      <c r="Q457" s="6">
        <f t="shared" ref="Q457" si="1026">+L457-M457-N457+P457</f>
        <v>30.290000000000003</v>
      </c>
      <c r="R457" s="3"/>
      <c r="S457" s="3">
        <v>19.899999999999999</v>
      </c>
      <c r="T457" s="3">
        <v>1.24</v>
      </c>
      <c r="U457" s="3"/>
      <c r="V457" s="3"/>
      <c r="W457" s="3"/>
      <c r="X457" s="2">
        <f t="shared" ref="X457" si="1027">+S457+T457++U457+V457-W457</f>
        <v>21.139999999999997</v>
      </c>
      <c r="Y457" s="6">
        <f t="shared" ref="Y457" si="1028">+Q457-X457</f>
        <v>9.1500000000000057</v>
      </c>
      <c r="Z457" s="2">
        <f>SUM(Y450:Y457)</f>
        <v>64.850000000000023</v>
      </c>
      <c r="AA457" s="2"/>
      <c r="AB457" s="2"/>
      <c r="AC457" s="3"/>
      <c r="AD457" s="2"/>
      <c r="AE457" s="2"/>
      <c r="AF457" s="2"/>
      <c r="AG457" s="2"/>
      <c r="AH457" s="2" t="s">
        <v>5694</v>
      </c>
      <c r="AI457" s="2" t="s">
        <v>5693</v>
      </c>
      <c r="AJ457" s="2"/>
      <c r="AK457" s="2"/>
      <c r="AL457" s="2" t="s">
        <v>5460</v>
      </c>
      <c r="AM457" s="16" t="s">
        <v>5835</v>
      </c>
      <c r="AN457" s="2"/>
      <c r="AO457" s="2" t="s">
        <v>5751</v>
      </c>
      <c r="AP457" s="2" t="s">
        <v>5412</v>
      </c>
      <c r="AQ457" s="2"/>
      <c r="AR457" s="16" t="s">
        <v>5752</v>
      </c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</row>
    <row r="458" spans="3:58" ht="17.25" customHeight="1">
      <c r="C458" s="1">
        <v>43988</v>
      </c>
      <c r="E458" s="2" t="s">
        <v>772</v>
      </c>
      <c r="F458" s="15"/>
      <c r="G458" s="2" t="s">
        <v>5667</v>
      </c>
      <c r="H458" s="2" t="s">
        <v>5666</v>
      </c>
      <c r="I458" s="2"/>
      <c r="J458" s="2">
        <v>1</v>
      </c>
      <c r="K458" s="2"/>
      <c r="L458" s="3">
        <v>35.85</v>
      </c>
      <c r="M458" s="3">
        <v>3.58</v>
      </c>
      <c r="N458" s="3">
        <v>1.96</v>
      </c>
      <c r="O458" s="3">
        <v>1.9</v>
      </c>
      <c r="P458" s="3">
        <f>1.9-1.9</f>
        <v>0</v>
      </c>
      <c r="Q458" s="6">
        <f t="shared" ref="Q458:Q459" si="1029">+L458-M458-N458+P458</f>
        <v>30.310000000000002</v>
      </c>
      <c r="R458" s="3"/>
      <c r="S458" s="3">
        <v>19.899999999999999</v>
      </c>
      <c r="T458" s="3">
        <v>1.05</v>
      </c>
      <c r="U458" s="3"/>
      <c r="V458" s="3"/>
      <c r="W458" s="3"/>
      <c r="X458" s="2">
        <f t="shared" ref="X458" si="1030">+S458+T458++U458+V458-W458</f>
        <v>20.95</v>
      </c>
      <c r="Y458" s="6">
        <f t="shared" ref="Y458" si="1031">+Q458-X458</f>
        <v>9.360000000000003</v>
      </c>
      <c r="Z458" s="2"/>
      <c r="AA458" s="2"/>
      <c r="AB458" s="2"/>
      <c r="AC458" s="3"/>
      <c r="AD458" s="2"/>
      <c r="AE458" s="2"/>
      <c r="AF458" s="2"/>
      <c r="AG458" s="2"/>
      <c r="AH458" s="2" t="s">
        <v>5678</v>
      </c>
      <c r="AI458" s="2" t="s">
        <v>5677</v>
      </c>
      <c r="AJ458" s="2"/>
      <c r="AK458" s="2"/>
      <c r="AL458" s="2" t="s">
        <v>5426</v>
      </c>
      <c r="AM458" s="2" t="s">
        <v>5763</v>
      </c>
      <c r="AN458" s="2"/>
      <c r="AO458" s="2" t="s">
        <v>5684</v>
      </c>
      <c r="AP458" s="2" t="s">
        <v>5412</v>
      </c>
      <c r="AQ458" s="2"/>
      <c r="AR458" s="16" t="s">
        <v>5417</v>
      </c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</row>
    <row r="459" spans="3:58" ht="17.25" customHeight="1">
      <c r="C459" s="1">
        <v>43988</v>
      </c>
      <c r="E459" s="2" t="s">
        <v>5664</v>
      </c>
      <c r="F459" s="15"/>
      <c r="G459" s="2" t="s">
        <v>5673</v>
      </c>
      <c r="H459" s="2" t="s">
        <v>5672</v>
      </c>
      <c r="I459" s="2"/>
      <c r="J459" s="2">
        <v>1</v>
      </c>
      <c r="K459" s="2"/>
      <c r="L459" s="3">
        <v>57.9</v>
      </c>
      <c r="M459" s="3">
        <v>5.79</v>
      </c>
      <c r="N459" s="3">
        <v>3.1</v>
      </c>
      <c r="O459" s="3"/>
      <c r="P459" s="3">
        <v>5.79</v>
      </c>
      <c r="Q459" s="6">
        <f t="shared" si="1029"/>
        <v>54.8</v>
      </c>
      <c r="R459" s="3"/>
      <c r="S459" s="3">
        <v>39.99</v>
      </c>
      <c r="T459" s="3">
        <v>3.48</v>
      </c>
      <c r="U459" s="3"/>
      <c r="V459" s="3"/>
      <c r="W459" s="3"/>
      <c r="X459" s="2">
        <f t="shared" ref="X459" si="1032">+S459+T459++U459+V459-W459</f>
        <v>43.47</v>
      </c>
      <c r="Y459" s="6">
        <f t="shared" ref="Y459" si="1033">+Q459-X459</f>
        <v>11.329999999999998</v>
      </c>
      <c r="Z459" s="2"/>
      <c r="AA459" s="2"/>
      <c r="AB459" s="2"/>
      <c r="AC459" s="3"/>
      <c r="AD459" s="2"/>
      <c r="AE459" s="2"/>
      <c r="AF459" s="2"/>
      <c r="AG459" s="2"/>
      <c r="AH459" s="2" t="s">
        <v>5675</v>
      </c>
      <c r="AI459" s="2" t="s">
        <v>5674</v>
      </c>
      <c r="AJ459" s="2"/>
      <c r="AK459" s="2"/>
      <c r="AL459" s="2" t="s">
        <v>5448</v>
      </c>
      <c r="AM459" s="2" t="s">
        <v>5766</v>
      </c>
      <c r="AN459" s="2"/>
      <c r="AO459" s="2" t="s">
        <v>5680</v>
      </c>
      <c r="AP459" s="2" t="s">
        <v>5515</v>
      </c>
      <c r="AQ459" s="2"/>
      <c r="AR459" s="16" t="s">
        <v>5417</v>
      </c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</row>
    <row r="460" spans="3:58" ht="17.25" customHeight="1">
      <c r="C460" s="1">
        <v>43988</v>
      </c>
      <c r="E460" s="2" t="s">
        <v>7</v>
      </c>
      <c r="F460" s="15"/>
      <c r="G460" s="2" t="s">
        <v>5659</v>
      </c>
      <c r="H460" s="2" t="s">
        <v>5658</v>
      </c>
      <c r="I460" s="2"/>
      <c r="J460" s="2">
        <v>1</v>
      </c>
      <c r="K460" s="2"/>
      <c r="L460" s="3">
        <v>57.5</v>
      </c>
      <c r="M460" s="3">
        <v>5.75</v>
      </c>
      <c r="N460" s="3">
        <v>3.05</v>
      </c>
      <c r="O460" s="3">
        <v>5.96</v>
      </c>
      <c r="P460" s="3">
        <f>5.96-5.96</f>
        <v>0</v>
      </c>
      <c r="Q460" s="6">
        <f t="shared" ref="Q460" si="1034">+L460-M460-N460+P460</f>
        <v>48.7</v>
      </c>
      <c r="R460" s="3"/>
      <c r="S460" s="3">
        <v>42.99</v>
      </c>
      <c r="T460" s="3">
        <v>3.71</v>
      </c>
      <c r="U460" s="3">
        <v>0</v>
      </c>
      <c r="V460" s="3"/>
      <c r="W460" s="3"/>
      <c r="X460" s="2">
        <f t="shared" ref="X460" si="1035">+S460+T460++U460+V460-W460</f>
        <v>46.7</v>
      </c>
      <c r="Y460" s="39">
        <f t="shared" ref="Y460" si="1036">+Q460-X460</f>
        <v>2</v>
      </c>
      <c r="Z460" s="2"/>
      <c r="AA460" s="2"/>
      <c r="AB460" s="2"/>
      <c r="AC460" s="3"/>
      <c r="AD460" s="2"/>
      <c r="AE460" s="2"/>
      <c r="AF460" s="2"/>
      <c r="AG460" s="2"/>
      <c r="AH460" s="2" t="s">
        <v>5661</v>
      </c>
      <c r="AI460" s="2" t="s">
        <v>5660</v>
      </c>
      <c r="AJ460" s="2"/>
      <c r="AK460" s="2"/>
      <c r="AL460" s="2" t="s">
        <v>5437</v>
      </c>
      <c r="AM460" s="16" t="s">
        <v>5810</v>
      </c>
      <c r="AN460" s="2"/>
      <c r="AO460" s="2" t="s">
        <v>5791</v>
      </c>
      <c r="AP460" s="2" t="s">
        <v>5792</v>
      </c>
      <c r="AQ460" s="2"/>
      <c r="AR460" s="16" t="s">
        <v>5620</v>
      </c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</row>
    <row r="461" spans="3:58" ht="17.25" customHeight="1">
      <c r="C461" s="1">
        <v>43988</v>
      </c>
      <c r="E461" s="2" t="s">
        <v>1922</v>
      </c>
      <c r="F461" s="15"/>
      <c r="G461" s="2" t="s">
        <v>5652</v>
      </c>
      <c r="H461" s="2" t="s">
        <v>5649</v>
      </c>
      <c r="I461" s="2"/>
      <c r="J461" s="2">
        <v>1</v>
      </c>
      <c r="K461" s="2"/>
      <c r="L461" s="3">
        <v>22.95</v>
      </c>
      <c r="M461" s="3">
        <v>2.29</v>
      </c>
      <c r="N461" s="3">
        <v>1.39</v>
      </c>
      <c r="O461" s="3">
        <v>1.38</v>
      </c>
      <c r="P461" s="3">
        <f>1.38-1.38</f>
        <v>0</v>
      </c>
      <c r="Q461" s="6">
        <f t="shared" ref="Q461:Q462" si="1037">+L461-M461-N461+P461</f>
        <v>19.27</v>
      </c>
      <c r="R461" s="3"/>
      <c r="S461" s="3">
        <v>11.95</v>
      </c>
      <c r="T461" s="3">
        <v>0.96</v>
      </c>
      <c r="U461" s="3"/>
      <c r="V461" s="3"/>
      <c r="W461" s="3"/>
      <c r="X461" s="3">
        <f t="shared" ref="X461:X462" si="1038">+S461+T461++U461+V461-W461</f>
        <v>12.91</v>
      </c>
      <c r="Y461" s="6">
        <f t="shared" ref="Y461:Y462" si="1039">+Q461-X461</f>
        <v>6.3599999999999994</v>
      </c>
      <c r="Z461" s="2"/>
      <c r="AA461" s="2"/>
      <c r="AB461" s="2"/>
      <c r="AC461" s="3"/>
      <c r="AD461" s="2"/>
      <c r="AE461" s="2"/>
      <c r="AF461" s="2"/>
      <c r="AG461" s="2"/>
      <c r="AH461" s="2" t="s">
        <v>5651</v>
      </c>
      <c r="AI461" s="2" t="s">
        <v>5650</v>
      </c>
      <c r="AJ461" s="2"/>
      <c r="AK461" s="2"/>
      <c r="AL461" s="2" t="s">
        <v>5460</v>
      </c>
      <c r="AM461" s="16" t="s">
        <v>5917</v>
      </c>
      <c r="AN461" s="2"/>
      <c r="AO461" s="2" t="s">
        <v>5687</v>
      </c>
      <c r="AP461" s="2" t="s">
        <v>5490</v>
      </c>
      <c r="AQ461" s="2"/>
      <c r="AR461" s="16" t="s">
        <v>5633</v>
      </c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</row>
    <row r="462" spans="3:58" ht="17.25" customHeight="1">
      <c r="C462" s="1">
        <v>43988</v>
      </c>
      <c r="E462" s="2" t="s">
        <v>7</v>
      </c>
      <c r="F462" s="15"/>
      <c r="G462" s="2" t="s">
        <v>5662</v>
      </c>
      <c r="H462" s="2" t="s">
        <v>5702</v>
      </c>
      <c r="I462" s="2"/>
      <c r="J462" s="2">
        <v>0</v>
      </c>
      <c r="K462" s="2"/>
      <c r="L462" s="3">
        <v>0</v>
      </c>
      <c r="M462" s="3">
        <v>0</v>
      </c>
      <c r="N462" s="3">
        <v>0</v>
      </c>
      <c r="O462" s="3"/>
      <c r="P462" s="3">
        <v>0</v>
      </c>
      <c r="Q462" s="6">
        <f t="shared" si="1037"/>
        <v>0</v>
      </c>
      <c r="R462" s="3"/>
      <c r="S462" s="3">
        <v>0</v>
      </c>
      <c r="T462" s="3">
        <v>0</v>
      </c>
      <c r="U462" s="3"/>
      <c r="V462" s="3"/>
      <c r="W462" s="3"/>
      <c r="X462" s="3">
        <f t="shared" si="1038"/>
        <v>0</v>
      </c>
      <c r="Y462" s="3">
        <f t="shared" si="1039"/>
        <v>0</v>
      </c>
      <c r="Z462" s="2"/>
      <c r="AA462" s="2"/>
      <c r="AB462" s="2"/>
      <c r="AC462" s="3"/>
      <c r="AD462" s="2"/>
      <c r="AE462" s="2"/>
      <c r="AF462" s="2"/>
      <c r="AG462" s="2"/>
      <c r="AH462" s="2" t="s">
        <v>5705</v>
      </c>
      <c r="AI462" s="2" t="s">
        <v>5704</v>
      </c>
      <c r="AJ462" s="2"/>
      <c r="AK462" s="2"/>
      <c r="AL462" s="2"/>
      <c r="AM462" s="2"/>
      <c r="AN462" s="2"/>
      <c r="AO462" s="5" t="s">
        <v>5703</v>
      </c>
      <c r="AP462" s="5" t="s">
        <v>5703</v>
      </c>
      <c r="AQ462" s="5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</row>
    <row r="463" spans="3:58" ht="17.25" customHeight="1">
      <c r="C463" s="1">
        <v>43988</v>
      </c>
      <c r="E463" s="2" t="s">
        <v>1922</v>
      </c>
      <c r="F463" s="15"/>
      <c r="G463" s="2" t="s">
        <v>5654</v>
      </c>
      <c r="H463" s="2" t="s">
        <v>5653</v>
      </c>
      <c r="I463" s="2"/>
      <c r="J463" s="2">
        <v>1</v>
      </c>
      <c r="K463" s="2"/>
      <c r="L463" s="3">
        <v>22.95</v>
      </c>
      <c r="M463" s="3">
        <v>2.29</v>
      </c>
      <c r="N463" s="3">
        <v>1.43</v>
      </c>
      <c r="O463" s="3">
        <v>1.43</v>
      </c>
      <c r="P463" s="3">
        <f>1.43-1.43</f>
        <v>0</v>
      </c>
      <c r="Q463" s="6">
        <f t="shared" ref="Q463" si="1040">+L463-M463-N463+P463</f>
        <v>19.23</v>
      </c>
      <c r="R463" s="3"/>
      <c r="S463" s="3">
        <v>11.95</v>
      </c>
      <c r="T463" s="3">
        <v>0.75</v>
      </c>
      <c r="U463" s="3"/>
      <c r="V463" s="3"/>
      <c r="W463" s="3"/>
      <c r="X463" s="3">
        <f t="shared" ref="X463" si="1041">+S463+T463++U463+V463-W463</f>
        <v>12.7</v>
      </c>
      <c r="Y463" s="6">
        <f t="shared" ref="Y463" si="1042">+Q463-X463</f>
        <v>6.5300000000000011</v>
      </c>
      <c r="Z463" s="2"/>
      <c r="AA463" s="2"/>
      <c r="AB463" s="2"/>
      <c r="AC463" s="3"/>
      <c r="AD463" s="2"/>
      <c r="AE463" s="2"/>
      <c r="AF463" s="2"/>
      <c r="AG463" s="2"/>
      <c r="AH463" s="2" t="s">
        <v>5656</v>
      </c>
      <c r="AI463" s="2" t="s">
        <v>5655</v>
      </c>
      <c r="AJ463" s="2"/>
      <c r="AK463" s="2"/>
      <c r="AL463" s="2" t="s">
        <v>5448</v>
      </c>
      <c r="AM463" s="2" t="s">
        <v>5876</v>
      </c>
      <c r="AN463" s="2"/>
      <c r="AO463" s="2" t="s">
        <v>5686</v>
      </c>
      <c r="AP463" s="2" t="s">
        <v>5490</v>
      </c>
      <c r="AQ463" s="2"/>
      <c r="AR463" s="16" t="s">
        <v>5620</v>
      </c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</row>
    <row r="464" spans="3:58" ht="17.25" customHeight="1">
      <c r="C464" s="1">
        <v>43988</v>
      </c>
      <c r="E464" s="2" t="s">
        <v>1922</v>
      </c>
      <c r="F464" s="15"/>
      <c r="G464" s="2" t="s">
        <v>5644</v>
      </c>
      <c r="H464" s="2" t="s">
        <v>5643</v>
      </c>
      <c r="I464" s="2"/>
      <c r="J464" s="2">
        <v>1</v>
      </c>
      <c r="K464" s="2"/>
      <c r="L464" s="3">
        <v>22.95</v>
      </c>
      <c r="M464" s="3">
        <v>2.29</v>
      </c>
      <c r="N464" s="3">
        <v>1.37</v>
      </c>
      <c r="O464" s="3">
        <v>1.38</v>
      </c>
      <c r="P464" s="3">
        <f>1.38-1.38</f>
        <v>0</v>
      </c>
      <c r="Q464" s="6">
        <f t="shared" ref="Q464" si="1043">+L464-M464-N464+P464</f>
        <v>19.29</v>
      </c>
      <c r="R464" s="3"/>
      <c r="S464" s="3">
        <v>11.95</v>
      </c>
      <c r="T464" s="3">
        <v>0.72</v>
      </c>
      <c r="U464" s="3"/>
      <c r="V464" s="3"/>
      <c r="W464" s="3"/>
      <c r="X464" s="3">
        <f t="shared" ref="X464" si="1044">+S464+T464++U464+V464-W464</f>
        <v>12.67</v>
      </c>
      <c r="Y464" s="6">
        <f t="shared" ref="Y464" si="1045">+Q464-X464</f>
        <v>6.6199999999999992</v>
      </c>
      <c r="Z464" s="2"/>
      <c r="AA464" s="2"/>
      <c r="AB464" s="2"/>
      <c r="AC464" s="3"/>
      <c r="AD464" s="2"/>
      <c r="AE464" s="2"/>
      <c r="AF464" s="2"/>
      <c r="AG464" s="2"/>
      <c r="AH464" s="2" t="s">
        <v>5646</v>
      </c>
      <c r="AI464" s="2" t="s">
        <v>5645</v>
      </c>
      <c r="AJ464" s="2"/>
      <c r="AK464" s="2"/>
      <c r="AL464" s="2" t="s">
        <v>5460</v>
      </c>
      <c r="AM464" s="16" t="s">
        <v>5761</v>
      </c>
      <c r="AN464" s="2"/>
      <c r="AO464" s="2" t="s">
        <v>5685</v>
      </c>
      <c r="AP464" s="2" t="s">
        <v>5490</v>
      </c>
      <c r="AQ464" s="2"/>
      <c r="AR464" s="16" t="s">
        <v>5633</v>
      </c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</row>
    <row r="465" spans="3:58" ht="17.25" customHeight="1">
      <c r="C465" s="1">
        <v>43988</v>
      </c>
      <c r="E465" s="2" t="s">
        <v>772</v>
      </c>
      <c r="F465" s="15"/>
      <c r="G465" s="2" t="s">
        <v>2618</v>
      </c>
      <c r="H465" s="2" t="s">
        <v>5642</v>
      </c>
      <c r="I465" s="2"/>
      <c r="J465" s="2">
        <v>1</v>
      </c>
      <c r="K465" s="2"/>
      <c r="L465" s="3">
        <v>35.85</v>
      </c>
      <c r="M465" s="3">
        <v>3.58</v>
      </c>
      <c r="N465" s="3">
        <v>1.88</v>
      </c>
      <c r="O465" s="3"/>
      <c r="P465" s="3">
        <v>0</v>
      </c>
      <c r="Q465" s="6">
        <f t="shared" ref="Q465" si="1046">+L465-M465-N465+P465</f>
        <v>30.390000000000004</v>
      </c>
      <c r="R465" s="3"/>
      <c r="S465" s="3">
        <v>19.899999999999999</v>
      </c>
      <c r="T465" s="3">
        <v>0</v>
      </c>
      <c r="U465" s="3"/>
      <c r="V465" s="3"/>
      <c r="W465" s="3"/>
      <c r="X465" s="2">
        <f t="shared" ref="X465" si="1047">+S465+T465++U465+V465-W465</f>
        <v>19.899999999999999</v>
      </c>
      <c r="Y465" s="6">
        <f t="shared" ref="Y465" si="1048">+Q465-X465</f>
        <v>10.490000000000006</v>
      </c>
      <c r="Z465" s="2">
        <f>SUM(Y458:Y465)</f>
        <v>52.69</v>
      </c>
      <c r="AA465" s="2"/>
      <c r="AB465" s="2"/>
      <c r="AC465" s="3"/>
      <c r="AD465" s="2"/>
      <c r="AE465" s="2"/>
      <c r="AF465" s="2"/>
      <c r="AG465" s="2"/>
      <c r="AH465" s="2" t="s">
        <v>2621</v>
      </c>
      <c r="AI465" s="2" t="s">
        <v>2620</v>
      </c>
      <c r="AJ465" s="2"/>
      <c r="AK465" s="2"/>
      <c r="AL465" s="2" t="s">
        <v>5460</v>
      </c>
      <c r="AM465" s="16" t="s">
        <v>5903</v>
      </c>
      <c r="AN465" s="2"/>
      <c r="AO465" s="2" t="s">
        <v>5681</v>
      </c>
      <c r="AP465" s="2" t="s">
        <v>5412</v>
      </c>
      <c r="AQ465" s="2"/>
      <c r="AR465" s="16" t="s">
        <v>5403</v>
      </c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</row>
    <row r="466" spans="3:58" ht="17.25" customHeight="1">
      <c r="C466" s="1">
        <v>43987</v>
      </c>
      <c r="E466" s="2" t="s">
        <v>5625</v>
      </c>
      <c r="F466" s="15"/>
      <c r="G466" s="2" t="s">
        <v>5627</v>
      </c>
      <c r="H466" s="2" t="s">
        <v>5626</v>
      </c>
      <c r="I466" s="2"/>
      <c r="J466" s="2">
        <v>1</v>
      </c>
      <c r="K466" s="2"/>
      <c r="L466" s="3">
        <v>83.5</v>
      </c>
      <c r="M466" s="3">
        <v>8.35</v>
      </c>
      <c r="N466" s="3">
        <v>3.97</v>
      </c>
      <c r="O466" s="3">
        <v>0</v>
      </c>
      <c r="P466" s="3">
        <v>0</v>
      </c>
      <c r="Q466" s="6">
        <f t="shared" ref="Q466" si="1049">+L466-M466-N466+P466</f>
        <v>71.180000000000007</v>
      </c>
      <c r="R466" s="3"/>
      <c r="S466" s="3">
        <v>65.19</v>
      </c>
      <c r="T466" s="3">
        <v>0</v>
      </c>
      <c r="U466" s="3"/>
      <c r="V466" s="3"/>
      <c r="W466" s="41">
        <f>6.51</f>
        <v>6.51</v>
      </c>
      <c r="X466" s="2">
        <f t="shared" ref="X466" si="1050">+S466+T466++U466+V466-W466</f>
        <v>58.68</v>
      </c>
      <c r="Y466" s="6">
        <f t="shared" ref="Y466" si="1051">+Q466-X466</f>
        <v>12.500000000000007</v>
      </c>
      <c r="Z466" s="2"/>
      <c r="AA466" s="2"/>
      <c r="AB466" s="2"/>
      <c r="AC466" s="3"/>
      <c r="AD466" s="2"/>
      <c r="AE466" s="2"/>
      <c r="AF466" s="2"/>
      <c r="AG466" s="2"/>
      <c r="AH466" s="2" t="s">
        <v>5629</v>
      </c>
      <c r="AI466" s="2" t="s">
        <v>5628</v>
      </c>
      <c r="AJ466" s="2"/>
      <c r="AK466" s="2"/>
      <c r="AL466" s="2" t="s">
        <v>5437</v>
      </c>
      <c r="AM466" s="16" t="s">
        <v>5767</v>
      </c>
      <c r="AN466" s="2"/>
      <c r="AO466" s="2" t="s">
        <v>5630</v>
      </c>
      <c r="AP466" s="2" t="s">
        <v>3696</v>
      </c>
      <c r="AQ466" s="2"/>
      <c r="AR466" s="16" t="s">
        <v>5585</v>
      </c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</row>
    <row r="467" spans="3:58" ht="17.25" customHeight="1">
      <c r="C467" s="1">
        <v>43987</v>
      </c>
      <c r="E467" s="2" t="s">
        <v>5401</v>
      </c>
      <c r="F467" s="15"/>
      <c r="G467" s="2" t="s">
        <v>5612</v>
      </c>
      <c r="H467" s="2" t="s">
        <v>5611</v>
      </c>
      <c r="I467" s="2"/>
      <c r="J467" s="2">
        <v>1</v>
      </c>
      <c r="K467" s="2"/>
      <c r="L467" s="3">
        <v>19.649999999999999</v>
      </c>
      <c r="M467" s="3">
        <v>1.96</v>
      </c>
      <c r="N467" s="3">
        <v>1.22</v>
      </c>
      <c r="O467" s="3">
        <v>1.23</v>
      </c>
      <c r="P467" s="3">
        <f>1.23-1.23</f>
        <v>0</v>
      </c>
      <c r="Q467" s="6">
        <f t="shared" ref="Q467:Q468" si="1052">+L467-M467-N467+P467</f>
        <v>16.47</v>
      </c>
      <c r="R467" s="3"/>
      <c r="S467" s="3">
        <v>12.3</v>
      </c>
      <c r="T467" s="3">
        <v>0.77</v>
      </c>
      <c r="U467" s="3"/>
      <c r="V467" s="3"/>
      <c r="W467" s="3">
        <v>1.23</v>
      </c>
      <c r="X467" s="2">
        <f t="shared" ref="X467:X468" si="1053">+S467+T467++U467+V467-W467</f>
        <v>11.84</v>
      </c>
      <c r="Y467" s="6">
        <f t="shared" ref="Y467:Y468" si="1054">+Q467-X467</f>
        <v>4.629999999999999</v>
      </c>
      <c r="Z467" s="2"/>
      <c r="AA467" s="2"/>
      <c r="AB467" s="2"/>
      <c r="AC467" s="3"/>
      <c r="AD467" s="2"/>
      <c r="AE467" s="2"/>
      <c r="AF467" s="2"/>
      <c r="AG467" s="2"/>
      <c r="AH467" s="2" t="s">
        <v>5614</v>
      </c>
      <c r="AI467" s="2" t="s">
        <v>5613</v>
      </c>
      <c r="AJ467" s="2"/>
      <c r="AK467" s="2"/>
      <c r="AL467" s="2" t="s">
        <v>5808</v>
      </c>
      <c r="AM467" s="16" t="s">
        <v>5807</v>
      </c>
      <c r="AN467" s="2"/>
      <c r="AO467" s="2" t="s">
        <v>5619</v>
      </c>
      <c r="AP467" s="2" t="s">
        <v>5536</v>
      </c>
      <c r="AQ467" s="2"/>
      <c r="AR467" s="16" t="s">
        <v>5620</v>
      </c>
      <c r="AS467" s="2" t="s">
        <v>5418</v>
      </c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</row>
    <row r="468" spans="3:58" ht="17.25" customHeight="1">
      <c r="C468" s="1">
        <v>43987</v>
      </c>
      <c r="E468" s="2" t="s">
        <v>772</v>
      </c>
      <c r="F468" s="15"/>
      <c r="G468" s="2" t="s">
        <v>5616</v>
      </c>
      <c r="H468" s="2" t="s">
        <v>5615</v>
      </c>
      <c r="I468" s="2"/>
      <c r="J468" s="2">
        <v>1</v>
      </c>
      <c r="K468" s="2"/>
      <c r="L468" s="3">
        <v>35.85</v>
      </c>
      <c r="M468" s="3">
        <v>3.58</v>
      </c>
      <c r="N468" s="3">
        <v>2.0099999999999998</v>
      </c>
      <c r="O468" s="3">
        <v>2.96</v>
      </c>
      <c r="P468" s="3">
        <f>2.96-2.96</f>
        <v>0</v>
      </c>
      <c r="Q468" s="6">
        <f t="shared" si="1052"/>
        <v>30.260000000000005</v>
      </c>
      <c r="R468" s="3"/>
      <c r="S468" s="3">
        <v>18.98</v>
      </c>
      <c r="T468" s="3">
        <v>1.64</v>
      </c>
      <c r="U468" s="3"/>
      <c r="V468" s="3"/>
      <c r="W468" s="3"/>
      <c r="X468" s="2">
        <f t="shared" si="1053"/>
        <v>20.62</v>
      </c>
      <c r="Y468" s="6">
        <f t="shared" si="1054"/>
        <v>9.6400000000000041</v>
      </c>
      <c r="Z468" s="2"/>
      <c r="AA468" s="2"/>
      <c r="AB468" s="2"/>
      <c r="AC468" s="3"/>
      <c r="AD468" s="2"/>
      <c r="AE468" s="2"/>
      <c r="AF468" s="2"/>
      <c r="AG468" s="2"/>
      <c r="AH468" s="2" t="s">
        <v>5618</v>
      </c>
      <c r="AI468" s="2" t="s">
        <v>5617</v>
      </c>
      <c r="AJ468" s="2"/>
      <c r="AK468" s="2"/>
      <c r="AL468" s="2" t="s">
        <v>5460</v>
      </c>
      <c r="AM468" s="16" t="s">
        <v>5764</v>
      </c>
      <c r="AN468" s="2"/>
      <c r="AO468" s="2" t="s">
        <v>5624</v>
      </c>
      <c r="AP468" s="2" t="s">
        <v>5412</v>
      </c>
      <c r="AQ468" s="2"/>
      <c r="AR468" s="16" t="s">
        <v>5495</v>
      </c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</row>
    <row r="469" spans="3:58" ht="17.25" customHeight="1">
      <c r="C469" s="1">
        <v>43987</v>
      </c>
      <c r="E469" s="2" t="s">
        <v>772</v>
      </c>
      <c r="F469" s="15"/>
      <c r="G469" s="2" t="s">
        <v>5599</v>
      </c>
      <c r="H469" s="2" t="s">
        <v>5598</v>
      </c>
      <c r="I469" s="2"/>
      <c r="J469" s="2">
        <v>1</v>
      </c>
      <c r="K469" s="2"/>
      <c r="L469" s="3">
        <v>35.85</v>
      </c>
      <c r="M469" s="3">
        <v>3.58</v>
      </c>
      <c r="N469" s="3">
        <v>1.98</v>
      </c>
      <c r="O469" s="3">
        <v>2.2400000000000002</v>
      </c>
      <c r="P469" s="3">
        <f>2.24-2.24</f>
        <v>0</v>
      </c>
      <c r="Q469" s="6">
        <f t="shared" ref="Q469" si="1055">+L469-M469-N469+P469</f>
        <v>30.290000000000003</v>
      </c>
      <c r="R469" s="3"/>
      <c r="S469" s="3">
        <v>18.98</v>
      </c>
      <c r="T469" s="3">
        <v>1.25</v>
      </c>
      <c r="U469" s="3"/>
      <c r="V469" s="3"/>
      <c r="W469" s="3"/>
      <c r="X469" s="2">
        <f t="shared" ref="X469" si="1056">+S469+T469++U469+V469-W469</f>
        <v>20.23</v>
      </c>
      <c r="Y469" s="6">
        <f t="shared" ref="Y469" si="1057">+Q469-X469</f>
        <v>10.060000000000002</v>
      </c>
      <c r="Z469" s="2"/>
      <c r="AA469" s="2"/>
      <c r="AB469" s="2"/>
      <c r="AC469" s="3"/>
      <c r="AD469" s="2"/>
      <c r="AE469" s="2"/>
      <c r="AF469" s="2"/>
      <c r="AG469" s="2"/>
      <c r="AH469" s="2" t="s">
        <v>5601</v>
      </c>
      <c r="AI469" s="2" t="s">
        <v>5600</v>
      </c>
      <c r="AJ469" s="2"/>
      <c r="AK469" s="2"/>
      <c r="AL469" s="2" t="s">
        <v>5460</v>
      </c>
      <c r="AM469" s="16" t="s">
        <v>5669</v>
      </c>
      <c r="AN469" s="2"/>
      <c r="AO469" s="2" t="s">
        <v>5623</v>
      </c>
      <c r="AP469" s="2" t="s">
        <v>5412</v>
      </c>
      <c r="AQ469" s="2"/>
      <c r="AR469" s="16" t="s">
        <v>5495</v>
      </c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</row>
    <row r="470" spans="3:58" ht="17.25" customHeight="1">
      <c r="C470" s="1">
        <v>43987</v>
      </c>
      <c r="E470" s="2" t="s">
        <v>1922</v>
      </c>
      <c r="F470" s="15"/>
      <c r="G470" s="2" t="s">
        <v>5593</v>
      </c>
      <c r="H470" s="2" t="s">
        <v>5592</v>
      </c>
      <c r="I470" s="2"/>
      <c r="J470" s="2">
        <v>1</v>
      </c>
      <c r="K470" s="2"/>
      <c r="L470" s="3">
        <v>22.95</v>
      </c>
      <c r="M470" s="3">
        <v>2.29</v>
      </c>
      <c r="N470" s="3">
        <v>1.38</v>
      </c>
      <c r="O470" s="3"/>
      <c r="P470" s="3">
        <v>1.61</v>
      </c>
      <c r="Q470" s="6">
        <f t="shared" ref="Q470" si="1058">+L470-M470-N470+P470</f>
        <v>20.89</v>
      </c>
      <c r="R470" s="3"/>
      <c r="S470" s="3">
        <v>11.95</v>
      </c>
      <c r="T470" s="3">
        <v>0.84</v>
      </c>
      <c r="U470" s="3"/>
      <c r="V470" s="3"/>
      <c r="W470" s="3"/>
      <c r="X470" s="3">
        <f t="shared" ref="X470" si="1059">+S470+T470++U470+V470-W470</f>
        <v>12.79</v>
      </c>
      <c r="Y470" s="6">
        <f t="shared" ref="Y470" si="1060">+Q470-X470</f>
        <v>8.1000000000000014</v>
      </c>
      <c r="Z470" s="2"/>
      <c r="AA470" s="2"/>
      <c r="AB470" s="2"/>
      <c r="AC470" s="3"/>
      <c r="AD470" s="2"/>
      <c r="AE470" s="2"/>
      <c r="AF470" s="2"/>
      <c r="AG470" s="2"/>
      <c r="AH470" s="2" t="s">
        <v>5595</v>
      </c>
      <c r="AI470" s="2" t="s">
        <v>5594</v>
      </c>
      <c r="AJ470" s="2"/>
      <c r="AK470" s="2"/>
      <c r="AL470" s="2" t="s">
        <v>5426</v>
      </c>
      <c r="AM470" s="2" t="s">
        <v>5665</v>
      </c>
      <c r="AN470" s="2"/>
      <c r="AO470" s="2" t="s">
        <v>5636</v>
      </c>
      <c r="AP470" s="2" t="s">
        <v>5412</v>
      </c>
      <c r="AQ470" s="2"/>
      <c r="AR470" s="16" t="s">
        <v>5635</v>
      </c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</row>
    <row r="471" spans="3:58" ht="17.25" customHeight="1">
      <c r="C471" s="1">
        <v>43987</v>
      </c>
      <c r="E471" s="2" t="s">
        <v>1922</v>
      </c>
      <c r="F471" s="15"/>
      <c r="G471" s="2" t="s">
        <v>5597</v>
      </c>
      <c r="H471" s="2" t="s">
        <v>5596</v>
      </c>
      <c r="I471" s="2"/>
      <c r="J471" s="2">
        <v>1</v>
      </c>
      <c r="K471" s="2"/>
      <c r="L471" s="3">
        <v>22.95</v>
      </c>
      <c r="M471" s="3">
        <v>2.29</v>
      </c>
      <c r="N471" s="3">
        <v>1.4</v>
      </c>
      <c r="O471" s="3">
        <v>2.12</v>
      </c>
      <c r="P471" s="3">
        <f>2.12-2.12</f>
        <v>0</v>
      </c>
      <c r="Q471" s="6">
        <f t="shared" ref="Q471" si="1061">+L471-M471-N471+P471</f>
        <v>19.260000000000002</v>
      </c>
      <c r="R471" s="3"/>
      <c r="S471" s="3">
        <v>11.95</v>
      </c>
      <c r="T471" s="3">
        <v>1.1100000000000001</v>
      </c>
      <c r="U471" s="3"/>
      <c r="V471" s="3"/>
      <c r="W471" s="3"/>
      <c r="X471" s="3">
        <f t="shared" ref="X471" si="1062">+S471+T471++U471+V471-W471</f>
        <v>13.059999999999999</v>
      </c>
      <c r="Y471" s="6">
        <f t="shared" ref="Y471" si="1063">+Q471-X471</f>
        <v>6.2000000000000028</v>
      </c>
      <c r="Z471" s="2"/>
      <c r="AA471" s="2"/>
      <c r="AB471" s="2"/>
      <c r="AC471" s="3"/>
      <c r="AD471" s="2"/>
      <c r="AE471" s="2"/>
      <c r="AF471" s="2"/>
      <c r="AG471" s="2"/>
      <c r="AH471" s="2" t="s">
        <v>5595</v>
      </c>
      <c r="AI471" s="2" t="s">
        <v>5594</v>
      </c>
      <c r="AJ471" s="2"/>
      <c r="AK471" s="2"/>
      <c r="AL471" s="2" t="s">
        <v>5426</v>
      </c>
      <c r="AM471" s="2" t="s">
        <v>5671</v>
      </c>
      <c r="AN471" s="2"/>
      <c r="AO471" s="2" t="s">
        <v>5634</v>
      </c>
      <c r="AP471" s="2" t="s">
        <v>5412</v>
      </c>
      <c r="AQ471" s="2"/>
      <c r="AR471" s="16" t="s">
        <v>5635</v>
      </c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</row>
    <row r="472" spans="3:58" ht="17.25" customHeight="1">
      <c r="C472" s="1">
        <v>43987</v>
      </c>
      <c r="E472" s="2" t="s">
        <v>5578</v>
      </c>
      <c r="F472" s="15"/>
      <c r="G472" s="2" t="s">
        <v>5581</v>
      </c>
      <c r="H472" s="2" t="s">
        <v>5580</v>
      </c>
      <c r="I472" s="2"/>
      <c r="J472" s="2">
        <v>1</v>
      </c>
      <c r="K472" s="2"/>
      <c r="L472" s="3">
        <v>17.5</v>
      </c>
      <c r="M472" s="3">
        <v>1.75</v>
      </c>
      <c r="N472" s="3">
        <v>1.1299999999999999</v>
      </c>
      <c r="O472" s="3">
        <v>1.44</v>
      </c>
      <c r="P472" s="3">
        <f>1.44-1.44</f>
        <v>0</v>
      </c>
      <c r="Q472" s="6">
        <f t="shared" ref="Q472:Q474" si="1064">+L472-M472-N472+P472</f>
        <v>14.620000000000001</v>
      </c>
      <c r="R472" s="3"/>
      <c r="S472" s="3">
        <v>9.4499999999999993</v>
      </c>
      <c r="T472" s="3">
        <v>0.78</v>
      </c>
      <c r="U472" s="3"/>
      <c r="V472" s="3"/>
      <c r="W472" s="3">
        <v>0</v>
      </c>
      <c r="X472" s="2">
        <f t="shared" ref="X472" si="1065">+S472+T472++U472+V472-W472</f>
        <v>10.229999999999999</v>
      </c>
      <c r="Y472" s="6">
        <f t="shared" ref="Y472:Y474" si="1066">+Q472-X472</f>
        <v>4.3900000000000023</v>
      </c>
      <c r="Z472" s="2"/>
      <c r="AA472" s="2"/>
      <c r="AB472" s="2"/>
      <c r="AC472" s="3"/>
      <c r="AD472" s="2"/>
      <c r="AE472" s="2"/>
      <c r="AF472" s="2"/>
      <c r="AG472" s="2"/>
      <c r="AH472" s="2" t="s">
        <v>5583</v>
      </c>
      <c r="AI472" s="2" t="s">
        <v>5582</v>
      </c>
      <c r="AJ472" s="2"/>
      <c r="AK472" s="2"/>
      <c r="AL472" s="2" t="s">
        <v>5426</v>
      </c>
      <c r="AM472" s="2" t="s">
        <v>5765</v>
      </c>
      <c r="AN472" s="2"/>
      <c r="AO472" s="2" t="s">
        <v>5631</v>
      </c>
      <c r="AP472" s="2" t="s">
        <v>5632</v>
      </c>
      <c r="AQ472" s="2"/>
      <c r="AR472" s="16" t="s">
        <v>5633</v>
      </c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</row>
    <row r="473" spans="3:58" ht="17.25" customHeight="1">
      <c r="C473" s="1">
        <v>43987</v>
      </c>
      <c r="E473" s="2" t="s">
        <v>5579</v>
      </c>
      <c r="F473" s="15"/>
      <c r="G473" s="2" t="s">
        <v>2050</v>
      </c>
      <c r="H473" s="2" t="s">
        <v>2051</v>
      </c>
      <c r="I473" s="2"/>
      <c r="J473" s="2">
        <v>1</v>
      </c>
      <c r="K473" s="2"/>
      <c r="L473" s="3">
        <v>37.15</v>
      </c>
      <c r="M473" s="3">
        <v>3.71</v>
      </c>
      <c r="N473" s="3">
        <v>1.93</v>
      </c>
      <c r="O473" s="3"/>
      <c r="P473" s="3">
        <v>0</v>
      </c>
      <c r="Q473" s="6">
        <f t="shared" si="1064"/>
        <v>31.509999999999998</v>
      </c>
      <c r="R473" s="3"/>
      <c r="S473" s="3">
        <v>27.78</v>
      </c>
      <c r="T473" s="3">
        <v>0</v>
      </c>
      <c r="U473" s="3">
        <v>0</v>
      </c>
      <c r="V473" s="3"/>
      <c r="W473" s="3">
        <v>0</v>
      </c>
      <c r="X473" s="2">
        <f t="shared" ref="X473:X474" si="1067">+S473+T473++U473+V473-W473</f>
        <v>27.78</v>
      </c>
      <c r="Y473" s="6">
        <f t="shared" si="1066"/>
        <v>3.7299999999999969</v>
      </c>
      <c r="Z473" s="2">
        <f>SUM(Y466:Y473)</f>
        <v>59.250000000000014</v>
      </c>
      <c r="AA473" s="2"/>
      <c r="AB473" s="2"/>
      <c r="AC473" s="3"/>
      <c r="AD473" s="2"/>
      <c r="AE473" s="2"/>
      <c r="AF473" s="2"/>
      <c r="AG473" s="2"/>
      <c r="AH473" s="2" t="s">
        <v>2068</v>
      </c>
      <c r="AI473" s="2" t="s">
        <v>2067</v>
      </c>
      <c r="AJ473" s="2"/>
      <c r="AK473" s="2"/>
      <c r="AL473" s="2" t="s">
        <v>5608</v>
      </c>
      <c r="AM473" s="2" t="s">
        <v>5845</v>
      </c>
      <c r="AN473" s="2"/>
      <c r="AO473" s="2" t="s">
        <v>5657</v>
      </c>
      <c r="AP473" s="2" t="s">
        <v>5515</v>
      </c>
      <c r="AQ473" s="2"/>
      <c r="AR473" s="16" t="s">
        <v>5620</v>
      </c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</row>
    <row r="474" spans="3:58" ht="17.25" customHeight="1">
      <c r="C474" s="1">
        <v>43986</v>
      </c>
      <c r="E474" s="2" t="s">
        <v>5542</v>
      </c>
      <c r="F474" s="15"/>
      <c r="G474" s="2" t="s">
        <v>5543</v>
      </c>
      <c r="H474" s="2" t="s">
        <v>5556</v>
      </c>
      <c r="I474" s="2"/>
      <c r="J474" s="2">
        <v>0</v>
      </c>
      <c r="K474" s="2"/>
      <c r="L474" s="3">
        <v>0</v>
      </c>
      <c r="M474" s="3">
        <v>0</v>
      </c>
      <c r="N474" s="3">
        <v>0</v>
      </c>
      <c r="O474" s="3"/>
      <c r="P474" s="3">
        <f>1.18-1.18</f>
        <v>0</v>
      </c>
      <c r="Q474" s="6">
        <f t="shared" si="1064"/>
        <v>0</v>
      </c>
      <c r="R474" s="3"/>
      <c r="S474" s="3">
        <v>0</v>
      </c>
      <c r="T474" s="3">
        <v>0</v>
      </c>
      <c r="U474" s="3"/>
      <c r="V474" s="3"/>
      <c r="W474" s="3">
        <v>0</v>
      </c>
      <c r="X474" s="2">
        <f t="shared" si="1067"/>
        <v>0</v>
      </c>
      <c r="Y474" s="6">
        <f t="shared" si="1066"/>
        <v>0</v>
      </c>
      <c r="Z474" s="2"/>
      <c r="AA474" s="2"/>
      <c r="AB474" s="2"/>
      <c r="AC474" s="3"/>
      <c r="AD474" s="2"/>
      <c r="AE474" s="2"/>
      <c r="AF474" s="2"/>
      <c r="AG474" s="2"/>
      <c r="AH474" s="2" t="s">
        <v>5545</v>
      </c>
      <c r="AI474" s="2" t="s">
        <v>5544</v>
      </c>
      <c r="AJ474" s="2"/>
      <c r="AK474" s="2"/>
      <c r="AL474" s="2"/>
      <c r="AM474" s="5" t="s">
        <v>5557</v>
      </c>
      <c r="AN474" s="2"/>
      <c r="AO474" s="5" t="s">
        <v>5557</v>
      </c>
      <c r="AP474" s="2" t="s">
        <v>3696</v>
      </c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</row>
    <row r="475" spans="3:58" ht="17.25" customHeight="1">
      <c r="C475" s="1">
        <v>43986</v>
      </c>
      <c r="E475" s="2" t="s">
        <v>5401</v>
      </c>
      <c r="F475" s="15"/>
      <c r="G475" s="2" t="s">
        <v>5551</v>
      </c>
      <c r="H475" s="2" t="s">
        <v>5550</v>
      </c>
      <c r="I475" s="2"/>
      <c r="J475" s="2">
        <v>1</v>
      </c>
      <c r="K475" s="2"/>
      <c r="L475" s="3">
        <v>19.649999999999999</v>
      </c>
      <c r="M475" s="3">
        <v>1.96</v>
      </c>
      <c r="N475" s="3">
        <v>1.22</v>
      </c>
      <c r="O475" s="3">
        <v>1.18</v>
      </c>
      <c r="P475" s="3">
        <f>1.18-1.18</f>
        <v>0</v>
      </c>
      <c r="Q475" s="6">
        <f t="shared" ref="Q475" si="1068">+L475-M475-N475+P475</f>
        <v>16.47</v>
      </c>
      <c r="R475" s="3"/>
      <c r="S475" s="3">
        <v>12.3</v>
      </c>
      <c r="T475" s="3">
        <v>0.74</v>
      </c>
      <c r="U475" s="3"/>
      <c r="V475" s="3"/>
      <c r="W475" s="3">
        <v>1.23</v>
      </c>
      <c r="X475" s="2">
        <f t="shared" ref="X475" si="1069">+S475+T475++U475+V475-W475</f>
        <v>11.81</v>
      </c>
      <c r="Y475" s="6">
        <f t="shared" ref="Y475" si="1070">+Q475-X475</f>
        <v>4.6599999999999984</v>
      </c>
      <c r="Z475" s="6">
        <f>SUM(Y474:Y475)</f>
        <v>4.6599999999999984</v>
      </c>
      <c r="AA475" s="2"/>
      <c r="AB475" s="2"/>
      <c r="AC475" s="3"/>
      <c r="AD475" s="2"/>
      <c r="AE475" s="2"/>
      <c r="AF475" s="2"/>
      <c r="AG475" s="2"/>
      <c r="AH475" s="2" t="s">
        <v>5564</v>
      </c>
      <c r="AI475" s="2" t="s">
        <v>5563</v>
      </c>
      <c r="AJ475" s="2"/>
      <c r="AK475" s="2"/>
      <c r="AL475" s="2" t="s">
        <v>5460</v>
      </c>
      <c r="AM475" s="16" t="s">
        <v>5923</v>
      </c>
      <c r="AN475" s="2"/>
      <c r="AO475" s="2" t="s">
        <v>5565</v>
      </c>
      <c r="AP475" s="2" t="s">
        <v>5905</v>
      </c>
      <c r="AQ475" s="2"/>
      <c r="AR475" s="16" t="s">
        <v>5514</v>
      </c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</row>
    <row r="476" spans="3:58" ht="17.25" customHeight="1">
      <c r="C476" s="1">
        <v>43985</v>
      </c>
      <c r="E476" s="2" t="s">
        <v>5938</v>
      </c>
      <c r="F476" s="15"/>
      <c r="G476" s="2" t="s">
        <v>5547</v>
      </c>
      <c r="H476" s="2" t="s">
        <v>5546</v>
      </c>
      <c r="I476" s="2"/>
      <c r="J476" s="2">
        <v>1</v>
      </c>
      <c r="K476" s="2"/>
      <c r="L476" s="3">
        <v>83.5</v>
      </c>
      <c r="M476" s="3">
        <v>8.35</v>
      </c>
      <c r="N476" s="3">
        <v>4.24</v>
      </c>
      <c r="O476" s="3">
        <v>6.05</v>
      </c>
      <c r="P476" s="3">
        <f>6.05-6.05</f>
        <v>0</v>
      </c>
      <c r="Q476" s="6">
        <f t="shared" ref="Q476" si="1071">+L476-M476-N476+P476</f>
        <v>70.910000000000011</v>
      </c>
      <c r="R476" s="3"/>
      <c r="S476" s="3">
        <v>65.19</v>
      </c>
      <c r="T476" s="3">
        <v>0</v>
      </c>
      <c r="U476" s="3"/>
      <c r="V476" s="3"/>
      <c r="W476" s="33">
        <f>6.51</f>
        <v>6.51</v>
      </c>
      <c r="X476" s="2">
        <f t="shared" ref="X476" si="1072">+S476+T476++U476+V476-W476</f>
        <v>58.68</v>
      </c>
      <c r="Y476" s="6">
        <f t="shared" ref="Y476" si="1073">+Q476-X476</f>
        <v>12.230000000000011</v>
      </c>
      <c r="Z476" s="2"/>
      <c r="AA476" s="2"/>
      <c r="AB476" s="2"/>
      <c r="AC476" s="3"/>
      <c r="AD476" s="2"/>
      <c r="AE476" s="2" t="s">
        <v>5418</v>
      </c>
      <c r="AF476" s="2"/>
      <c r="AG476" s="2"/>
      <c r="AH476" s="2" t="s">
        <v>5549</v>
      </c>
      <c r="AI476" s="2" t="s">
        <v>5548</v>
      </c>
      <c r="AJ476" s="2"/>
      <c r="AK476" s="2"/>
      <c r="AL476" s="2" t="s">
        <v>5460</v>
      </c>
      <c r="AM476" s="16" t="s">
        <v>5956</v>
      </c>
      <c r="AN476" s="2"/>
      <c r="AO476" s="2" t="s">
        <v>5908</v>
      </c>
      <c r="AP476" s="2" t="s">
        <v>3696</v>
      </c>
      <c r="AQ476" s="2"/>
      <c r="AR476" s="16" t="s">
        <v>5907</v>
      </c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spans="3:58" ht="17.25" customHeight="1">
      <c r="C477" s="1">
        <v>43985</v>
      </c>
      <c r="E477" s="2" t="s">
        <v>5496</v>
      </c>
      <c r="F477" s="15"/>
      <c r="G477" s="2" t="s">
        <v>5506</v>
      </c>
      <c r="H477" s="2" t="s">
        <v>5505</v>
      </c>
      <c r="I477" s="2"/>
      <c r="J477" s="2">
        <v>1</v>
      </c>
      <c r="K477" s="2"/>
      <c r="L477" s="3">
        <v>83.5</v>
      </c>
      <c r="M477" s="3">
        <v>8.35</v>
      </c>
      <c r="N477" s="3">
        <v>4.28</v>
      </c>
      <c r="O477" s="3">
        <v>6.89</v>
      </c>
      <c r="P477" s="3">
        <f>6.89-6.89</f>
        <v>0</v>
      </c>
      <c r="Q477" s="6">
        <f t="shared" ref="Q477" si="1074">+L477-M477-N477+P477</f>
        <v>70.87</v>
      </c>
      <c r="R477" s="3"/>
      <c r="S477" s="3">
        <v>65.19</v>
      </c>
      <c r="T477" s="3">
        <v>5.38</v>
      </c>
      <c r="U477" s="3"/>
      <c r="V477" s="3"/>
      <c r="W477" s="3">
        <f>6.51+0.54</f>
        <v>7.05</v>
      </c>
      <c r="X477" s="2">
        <f t="shared" ref="X477" si="1075">+S477+T477++U477+V477-W477</f>
        <v>63.519999999999996</v>
      </c>
      <c r="Y477" s="6">
        <f t="shared" ref="Y477" si="1076">+Q477-X477</f>
        <v>7.3500000000000085</v>
      </c>
      <c r="Z477" s="2"/>
      <c r="AA477" s="2"/>
      <c r="AB477" s="2"/>
      <c r="AC477" s="3"/>
      <c r="AD477" s="2"/>
      <c r="AE477" s="2"/>
      <c r="AF477" s="2"/>
      <c r="AG477" s="2"/>
      <c r="AH477" s="2" t="s">
        <v>5509</v>
      </c>
      <c r="AI477" s="2" t="s">
        <v>5508</v>
      </c>
      <c r="AJ477" s="2"/>
      <c r="AK477" s="2"/>
      <c r="AL477" s="2" t="s">
        <v>5437</v>
      </c>
      <c r="AM477" s="16" t="s">
        <v>5955</v>
      </c>
      <c r="AN477" s="2"/>
      <c r="AO477" s="2" t="s">
        <v>5906</v>
      </c>
      <c r="AP477" s="2" t="s">
        <v>3696</v>
      </c>
      <c r="AQ477" s="2"/>
      <c r="AR477" s="16" t="s">
        <v>5907</v>
      </c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</row>
    <row r="478" spans="3:58" ht="17.25" customHeight="1">
      <c r="C478" s="1">
        <v>43985</v>
      </c>
      <c r="E478" s="2" t="s">
        <v>5401</v>
      </c>
      <c r="F478" s="15"/>
      <c r="G478" s="2" t="s">
        <v>5482</v>
      </c>
      <c r="H478" s="2" t="s">
        <v>5481</v>
      </c>
      <c r="I478" s="2"/>
      <c r="J478" s="2">
        <v>1</v>
      </c>
      <c r="K478" s="2"/>
      <c r="L478" s="3">
        <v>19.649999999999999</v>
      </c>
      <c r="M478" s="3">
        <v>1.96</v>
      </c>
      <c r="N478" s="3">
        <v>1.23</v>
      </c>
      <c r="O478" s="3">
        <v>1.38</v>
      </c>
      <c r="P478" s="3">
        <f>1.38-1.38</f>
        <v>0</v>
      </c>
      <c r="Q478" s="6">
        <f t="shared" ref="Q478:Q479" si="1077">+L478-M478-N478+P478</f>
        <v>16.459999999999997</v>
      </c>
      <c r="R478" s="3"/>
      <c r="S478" s="3">
        <v>12.3</v>
      </c>
      <c r="T478" s="3">
        <v>0.86</v>
      </c>
      <c r="U478" s="3"/>
      <c r="V478" s="3"/>
      <c r="W478" s="3">
        <v>0</v>
      </c>
      <c r="X478" s="2">
        <f t="shared" ref="X478:X479" si="1078">+S478+T478++U478+V478-W478</f>
        <v>13.16</v>
      </c>
      <c r="Y478" s="6">
        <f t="shared" ref="Y478:Y479" si="1079">+Q478-X478</f>
        <v>3.2999999999999972</v>
      </c>
      <c r="Z478" s="2"/>
      <c r="AA478" s="2"/>
      <c r="AB478" s="2"/>
      <c r="AC478" s="3"/>
      <c r="AD478" s="2"/>
      <c r="AE478" s="2"/>
      <c r="AF478" s="2"/>
      <c r="AG478" s="2"/>
      <c r="AH478" s="2" t="s">
        <v>5484</v>
      </c>
      <c r="AI478" s="2" t="s">
        <v>5483</v>
      </c>
      <c r="AJ478" s="2"/>
      <c r="AK478" s="2"/>
      <c r="AL478" s="2" t="s">
        <v>5426</v>
      </c>
      <c r="AM478" s="2" t="s">
        <v>5762</v>
      </c>
      <c r="AN478" s="2"/>
      <c r="AO478" s="2" t="s">
        <v>5537</v>
      </c>
      <c r="AP478" s="2" t="s">
        <v>5536</v>
      </c>
      <c r="AQ478" s="2"/>
      <c r="AR478" s="16" t="s">
        <v>5417</v>
      </c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</row>
    <row r="479" spans="3:58" ht="17.25" customHeight="1">
      <c r="C479" s="1">
        <v>43985</v>
      </c>
      <c r="E479" s="2" t="s">
        <v>7</v>
      </c>
      <c r="F479" s="15"/>
      <c r="G479" s="2" t="s">
        <v>5458</v>
      </c>
      <c r="H479" s="2" t="s">
        <v>5457</v>
      </c>
      <c r="I479" s="2"/>
      <c r="J479" s="2">
        <v>1</v>
      </c>
      <c r="K479" s="2"/>
      <c r="L479" s="3">
        <v>34.85</v>
      </c>
      <c r="M479" s="3">
        <v>3.48</v>
      </c>
      <c r="N479" s="3">
        <v>1.94</v>
      </c>
      <c r="O479" s="3">
        <v>2.5299999999999998</v>
      </c>
      <c r="P479" s="3">
        <f>2.53-2.53</f>
        <v>0</v>
      </c>
      <c r="Q479" s="6">
        <f t="shared" si="1077"/>
        <v>29.43</v>
      </c>
      <c r="R479" s="3"/>
      <c r="S479" s="3">
        <v>39.99</v>
      </c>
      <c r="T479" s="3">
        <v>2.9</v>
      </c>
      <c r="U479" s="3">
        <v>0</v>
      </c>
      <c r="V479" s="3"/>
      <c r="W479" s="3"/>
      <c r="X479" s="2">
        <f t="shared" si="1078"/>
        <v>42.89</v>
      </c>
      <c r="Y479" s="38">
        <f t="shared" si="1079"/>
        <v>-13.46</v>
      </c>
      <c r="Z479" s="2"/>
      <c r="AA479" s="2"/>
      <c r="AB479" s="2"/>
      <c r="AC479" s="3"/>
      <c r="AD479" s="2"/>
      <c r="AE479" s="2"/>
      <c r="AF479" s="2"/>
      <c r="AG479" s="2"/>
      <c r="AH479" s="2" t="s">
        <v>5488</v>
      </c>
      <c r="AI479" s="2" t="s">
        <v>5487</v>
      </c>
      <c r="AJ479" s="2"/>
      <c r="AK479" s="2"/>
      <c r="AL479" s="2" t="s">
        <v>5437</v>
      </c>
      <c r="AM479" s="16" t="s">
        <v>5604</v>
      </c>
      <c r="AN479" s="2"/>
      <c r="AO479" s="2" t="s">
        <v>5577</v>
      </c>
      <c r="AP479" s="2" t="s">
        <v>5572</v>
      </c>
      <c r="AQ479" s="2"/>
      <c r="AR479" s="16" t="s">
        <v>5523</v>
      </c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</row>
    <row r="480" spans="3:58" ht="17.25" customHeight="1">
      <c r="C480" s="1">
        <v>43985</v>
      </c>
      <c r="E480" s="2" t="s">
        <v>1922</v>
      </c>
      <c r="F480" s="15"/>
      <c r="G480" s="2" t="s">
        <v>5479</v>
      </c>
      <c r="H480" s="2" t="s">
        <v>5480</v>
      </c>
      <c r="I480" s="2"/>
      <c r="J480" s="2">
        <v>1</v>
      </c>
      <c r="K480" s="2"/>
      <c r="L480" s="3">
        <v>22.95</v>
      </c>
      <c r="M480" s="3">
        <v>2.29</v>
      </c>
      <c r="N480" s="3">
        <v>1.36</v>
      </c>
      <c r="O480" s="3">
        <v>1.18</v>
      </c>
      <c r="P480" s="3">
        <f>1.18-1.18</f>
        <v>0</v>
      </c>
      <c r="Q480" s="6">
        <f t="shared" ref="Q480" si="1080">+L480-M480-N480+P480</f>
        <v>19.3</v>
      </c>
      <c r="R480" s="3"/>
      <c r="S480" s="3">
        <v>11.95</v>
      </c>
      <c r="T480" s="3">
        <v>0</v>
      </c>
      <c r="U480" s="3"/>
      <c r="V480" s="3"/>
      <c r="W480" s="3"/>
      <c r="X480" s="3">
        <f t="shared" ref="X480" si="1081">+S480+T480++U480+V480-W480</f>
        <v>11.95</v>
      </c>
      <c r="Y480" s="6">
        <f t="shared" ref="Y480" si="1082">+Q480-X480</f>
        <v>7.3500000000000014</v>
      </c>
      <c r="Z480" s="6">
        <f>SUM(Y476:Y480)</f>
        <v>16.770000000000017</v>
      </c>
      <c r="AA480" s="2"/>
      <c r="AB480" s="2"/>
      <c r="AC480" s="3"/>
      <c r="AD480" s="2"/>
      <c r="AE480" s="2"/>
      <c r="AF480" s="2"/>
      <c r="AG480" s="2"/>
      <c r="AH480" s="2" t="s">
        <v>5486</v>
      </c>
      <c r="AI480" s="2" t="s">
        <v>5485</v>
      </c>
      <c r="AJ480" s="2"/>
      <c r="AK480" s="2"/>
      <c r="AL480" s="2" t="s">
        <v>5460</v>
      </c>
      <c r="AM480" s="16" t="s">
        <v>5610</v>
      </c>
      <c r="AN480" s="2"/>
      <c r="AO480" s="2" t="s">
        <v>5503</v>
      </c>
      <c r="AP480" s="2" t="s">
        <v>5412</v>
      </c>
      <c r="AQ480" s="2"/>
      <c r="AR480" s="16" t="s">
        <v>5504</v>
      </c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</row>
    <row r="481" spans="3:58" ht="17.25" customHeight="1">
      <c r="C481" s="1">
        <v>43984</v>
      </c>
      <c r="E481" s="2" t="s">
        <v>772</v>
      </c>
      <c r="F481" s="15"/>
      <c r="G481" s="2" t="s">
        <v>5476</v>
      </c>
      <c r="H481" s="2" t="s">
        <v>5475</v>
      </c>
      <c r="I481" s="2"/>
      <c r="J481" s="2">
        <v>1</v>
      </c>
      <c r="K481" s="2"/>
      <c r="L481" s="3">
        <v>35.85</v>
      </c>
      <c r="M481" s="3">
        <v>3.58</v>
      </c>
      <c r="N481" s="3">
        <v>2</v>
      </c>
      <c r="O481" s="3">
        <v>2.78</v>
      </c>
      <c r="P481" s="3">
        <f>2.78-2.78</f>
        <v>0</v>
      </c>
      <c r="Q481" s="6">
        <f t="shared" ref="Q481" si="1083">+L481-M481-N481+P481</f>
        <v>30.270000000000003</v>
      </c>
      <c r="R481" s="3"/>
      <c r="S481" s="3">
        <v>18.98</v>
      </c>
      <c r="T481" s="3">
        <v>1.47</v>
      </c>
      <c r="U481" s="3"/>
      <c r="V481" s="3"/>
      <c r="W481" s="3"/>
      <c r="X481" s="2">
        <f t="shared" ref="X481" si="1084">+S481+T481++U481+V481-W481</f>
        <v>20.45</v>
      </c>
      <c r="Y481" s="6">
        <f t="shared" ref="Y481" si="1085">+Q481-X481</f>
        <v>9.8200000000000038</v>
      </c>
      <c r="Z481" s="2"/>
      <c r="AA481" s="2"/>
      <c r="AB481" s="2"/>
      <c r="AC481" s="3"/>
      <c r="AD481" s="2"/>
      <c r="AE481" s="2"/>
      <c r="AF481" s="2"/>
      <c r="AG481" s="2"/>
      <c r="AH481" s="2" t="s">
        <v>5478</v>
      </c>
      <c r="AI481" s="2" t="s">
        <v>5477</v>
      </c>
      <c r="AJ481" s="2"/>
      <c r="AK481" s="2"/>
      <c r="AL481" s="2" t="s">
        <v>5426</v>
      </c>
      <c r="AM481" s="2" t="s">
        <v>5638</v>
      </c>
      <c r="AN481" s="2"/>
      <c r="AO481" s="2" t="s">
        <v>5500</v>
      </c>
      <c r="AP481" s="2" t="s">
        <v>5412</v>
      </c>
      <c r="AQ481" s="2"/>
      <c r="AR481" s="16" t="s">
        <v>5495</v>
      </c>
      <c r="AS481" s="16" t="s">
        <v>5519</v>
      </c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</row>
    <row r="482" spans="3:58" ht="17.25" customHeight="1">
      <c r="C482" s="1">
        <v>43984</v>
      </c>
      <c r="E482" s="2" t="s">
        <v>7</v>
      </c>
      <c r="F482" s="15"/>
      <c r="G482" s="2" t="s">
        <v>5472</v>
      </c>
      <c r="H482" s="2" t="s">
        <v>5574</v>
      </c>
      <c r="I482" s="2"/>
      <c r="J482" s="2">
        <v>0</v>
      </c>
      <c r="K482" s="2"/>
      <c r="L482" s="3">
        <v>0</v>
      </c>
      <c r="M482" s="3">
        <v>0</v>
      </c>
      <c r="N482" s="3">
        <v>0</v>
      </c>
      <c r="O482" s="3"/>
      <c r="P482" s="3">
        <v>0</v>
      </c>
      <c r="Q482" s="6">
        <f t="shared" ref="Q482" si="1086">+L482-M482-N482+P482</f>
        <v>0</v>
      </c>
      <c r="R482" s="3"/>
      <c r="S482" s="3">
        <v>0</v>
      </c>
      <c r="T482" s="3">
        <v>0</v>
      </c>
      <c r="U482" s="3">
        <v>0</v>
      </c>
      <c r="V482" s="3"/>
      <c r="W482" s="3"/>
      <c r="X482" s="2">
        <f t="shared" ref="X482" si="1087">+S482+T482++U482+V482-W482</f>
        <v>0</v>
      </c>
      <c r="Y482" s="6">
        <f t="shared" ref="Y482" si="1088">+Q482-X482</f>
        <v>0</v>
      </c>
      <c r="Z482" s="2"/>
      <c r="AA482" s="2"/>
      <c r="AB482" s="2"/>
      <c r="AC482" s="3"/>
      <c r="AD482" s="2"/>
      <c r="AE482" s="2"/>
      <c r="AF482" s="2"/>
      <c r="AG482" s="2"/>
      <c r="AH482" s="2" t="s">
        <v>5474</v>
      </c>
      <c r="AI482" s="2" t="s">
        <v>5473</v>
      </c>
      <c r="AJ482" s="2"/>
      <c r="AK482" s="2"/>
      <c r="AL482" s="2"/>
      <c r="AM482" s="5" t="s">
        <v>5586</v>
      </c>
      <c r="AN482" s="2"/>
      <c r="AO482" s="5" t="s">
        <v>5586</v>
      </c>
      <c r="AP482" s="2" t="s">
        <v>5418</v>
      </c>
      <c r="AQ482" s="2"/>
      <c r="AR482" s="2"/>
      <c r="AS482" s="2"/>
      <c r="AT482" s="2"/>
      <c r="AU482" s="2" t="s">
        <v>5575</v>
      </c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</row>
    <row r="483" spans="3:58" ht="17.25" customHeight="1">
      <c r="C483" s="1">
        <v>43984</v>
      </c>
      <c r="E483" s="2" t="s">
        <v>5401</v>
      </c>
      <c r="F483" s="15"/>
      <c r="G483" s="2" t="s">
        <v>5469</v>
      </c>
      <c r="H483" s="2" t="s">
        <v>5468</v>
      </c>
      <c r="I483" s="2"/>
      <c r="J483" s="2">
        <v>1</v>
      </c>
      <c r="K483" s="2"/>
      <c r="L483" s="3">
        <v>19.649999999999999</v>
      </c>
      <c r="M483" s="3">
        <v>1.96</v>
      </c>
      <c r="N483" s="3">
        <v>1.22</v>
      </c>
      <c r="O483" s="3">
        <v>1.23</v>
      </c>
      <c r="P483" s="3">
        <f>1.23-1.23</f>
        <v>0</v>
      </c>
      <c r="Q483" s="6">
        <f t="shared" ref="Q483" si="1089">+L483-M483-N483+P483</f>
        <v>16.47</v>
      </c>
      <c r="R483" s="3"/>
      <c r="S483" s="3">
        <v>12.3</v>
      </c>
      <c r="T483" s="3">
        <v>0.77</v>
      </c>
      <c r="U483" s="3"/>
      <c r="V483" s="3"/>
      <c r="W483" s="3">
        <v>0</v>
      </c>
      <c r="X483" s="2">
        <f t="shared" ref="X483" si="1090">+S483+T483++U483+V483-W483</f>
        <v>13.07</v>
      </c>
      <c r="Y483" s="6">
        <f t="shared" ref="Y483" si="1091">+Q483-X483</f>
        <v>3.3999999999999986</v>
      </c>
      <c r="Z483" s="2"/>
      <c r="AA483" s="2"/>
      <c r="AB483" s="2"/>
      <c r="AC483" s="3"/>
      <c r="AD483" s="2"/>
      <c r="AE483" s="2"/>
      <c r="AF483" s="2"/>
      <c r="AG483" s="2"/>
      <c r="AH483" s="2" t="s">
        <v>5471</v>
      </c>
      <c r="AI483" s="2" t="s">
        <v>5470</v>
      </c>
      <c r="AJ483" s="2"/>
      <c r="AK483" s="2"/>
      <c r="AL483" s="2" t="s">
        <v>5460</v>
      </c>
      <c r="AM483" s="16" t="s">
        <v>5639</v>
      </c>
      <c r="AN483" s="2"/>
      <c r="AO483" s="2" t="s">
        <v>5534</v>
      </c>
      <c r="AP483" s="2" t="s">
        <v>5536</v>
      </c>
      <c r="AQ483" s="2"/>
      <c r="AR483" s="16" t="s">
        <v>5535</v>
      </c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</row>
    <row r="484" spans="3:58" ht="17.25" customHeight="1">
      <c r="C484" s="1">
        <v>43984</v>
      </c>
      <c r="E484" s="2" t="s">
        <v>1922</v>
      </c>
      <c r="F484" s="15"/>
      <c r="G484" s="2" t="s">
        <v>5452</v>
      </c>
      <c r="H484" s="2" t="s">
        <v>5451</v>
      </c>
      <c r="I484" s="2"/>
      <c r="J484" s="2">
        <v>1</v>
      </c>
      <c r="K484" s="2"/>
      <c r="L484" s="3">
        <v>22.95</v>
      </c>
      <c r="M484" s="3">
        <v>2.29</v>
      </c>
      <c r="N484" s="3">
        <v>1.36</v>
      </c>
      <c r="O484" s="3">
        <v>1.18</v>
      </c>
      <c r="P484" s="3">
        <f>1.18-1.18</f>
        <v>0</v>
      </c>
      <c r="Q484" s="6">
        <f t="shared" ref="Q484" si="1092">+L484-M484-N484+P484</f>
        <v>19.3</v>
      </c>
      <c r="R484" s="3"/>
      <c r="S484" s="3">
        <v>11.95</v>
      </c>
      <c r="T484" s="3">
        <v>0.51</v>
      </c>
      <c r="U484" s="3"/>
      <c r="V484" s="3"/>
      <c r="W484" s="3"/>
      <c r="X484" s="3">
        <f t="shared" ref="X484" si="1093">+S484+T484++U484+V484-W484</f>
        <v>12.459999999999999</v>
      </c>
      <c r="Y484" s="6">
        <f t="shared" ref="Y484" si="1094">+Q484-X484</f>
        <v>6.8400000000000016</v>
      </c>
      <c r="Z484" s="2"/>
      <c r="AA484" s="2"/>
      <c r="AB484" s="2"/>
      <c r="AC484" s="3"/>
      <c r="AD484" s="2"/>
      <c r="AE484" s="2"/>
      <c r="AF484" s="2"/>
      <c r="AG484" s="2"/>
      <c r="AH484" s="2" t="s">
        <v>5456</v>
      </c>
      <c r="AI484" s="2" t="s">
        <v>5455</v>
      </c>
      <c r="AJ484" s="2"/>
      <c r="AK484" s="2"/>
      <c r="AL484" s="2" t="s">
        <v>5460</v>
      </c>
      <c r="AM484" s="16" t="s">
        <v>5552</v>
      </c>
      <c r="AN484" s="2"/>
      <c r="AO484" s="2" t="s">
        <v>5501</v>
      </c>
      <c r="AP484" s="2" t="s">
        <v>5412</v>
      </c>
      <c r="AQ484" s="2"/>
      <c r="AR484" s="16" t="s">
        <v>5502</v>
      </c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</row>
    <row r="485" spans="3:58" ht="17.25" customHeight="1">
      <c r="C485" s="1">
        <v>43984</v>
      </c>
      <c r="E485" s="2" t="s">
        <v>1922</v>
      </c>
      <c r="F485" s="15"/>
      <c r="G485" s="2" t="s">
        <v>5450</v>
      </c>
      <c r="H485" s="2" t="s">
        <v>5449</v>
      </c>
      <c r="I485" s="2"/>
      <c r="J485" s="2">
        <v>1</v>
      </c>
      <c r="K485" s="2"/>
      <c r="L485" s="3">
        <v>22.95</v>
      </c>
      <c r="M485" s="3">
        <v>2.29</v>
      </c>
      <c r="N485" s="3">
        <v>1.37</v>
      </c>
      <c r="O485" s="3">
        <v>1.38</v>
      </c>
      <c r="P485" s="3">
        <f>1.38-1.38</f>
        <v>0</v>
      </c>
      <c r="Q485" s="6">
        <f t="shared" ref="Q485" si="1095">+L485-M485-N485+P485</f>
        <v>19.29</v>
      </c>
      <c r="R485" s="3"/>
      <c r="S485" s="3">
        <v>11.95</v>
      </c>
      <c r="T485" s="3">
        <v>0.72</v>
      </c>
      <c r="U485" s="3"/>
      <c r="V485" s="3"/>
      <c r="W485" s="3"/>
      <c r="X485" s="3">
        <f t="shared" ref="X485" si="1096">+S485+T485++U485+V485-W485</f>
        <v>12.67</v>
      </c>
      <c r="Y485" s="6">
        <f t="shared" ref="Y485" si="1097">+Q485-X485</f>
        <v>6.6199999999999992</v>
      </c>
      <c r="Z485" s="2"/>
      <c r="AA485" s="2"/>
      <c r="AB485" s="2"/>
      <c r="AC485" s="3"/>
      <c r="AD485" s="2"/>
      <c r="AE485" s="2"/>
      <c r="AF485" s="2"/>
      <c r="AG485" s="2"/>
      <c r="AH485" s="2" t="s">
        <v>5454</v>
      </c>
      <c r="AI485" s="2" t="s">
        <v>5453</v>
      </c>
      <c r="AJ485" s="2"/>
      <c r="AK485" s="2"/>
      <c r="AL485" s="2" t="s">
        <v>5460</v>
      </c>
      <c r="AM485" s="16" t="s">
        <v>5521</v>
      </c>
      <c r="AN485" s="2"/>
      <c r="AO485" s="2" t="s">
        <v>5491</v>
      </c>
      <c r="AP485" s="2" t="s">
        <v>5493</v>
      </c>
      <c r="AQ485" s="2"/>
      <c r="AR485" s="16" t="s">
        <v>5431</v>
      </c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</row>
    <row r="486" spans="3:58" ht="17.25" customHeight="1">
      <c r="C486" s="1">
        <v>43984</v>
      </c>
      <c r="E486" s="2" t="s">
        <v>5440</v>
      </c>
      <c r="F486" s="15"/>
      <c r="G486" s="2" t="s">
        <v>5443</v>
      </c>
      <c r="H486" s="2" t="s">
        <v>5442</v>
      </c>
      <c r="I486" s="2"/>
      <c r="J486" s="2">
        <v>1</v>
      </c>
      <c r="K486" s="2"/>
      <c r="L486" s="3">
        <v>83.5</v>
      </c>
      <c r="M486" s="3">
        <v>8.35</v>
      </c>
      <c r="N486" s="3">
        <v>4.24</v>
      </c>
      <c r="O486" s="3">
        <v>6.05</v>
      </c>
      <c r="P486" s="3">
        <f>6.05-6.05</f>
        <v>0</v>
      </c>
      <c r="Q486" s="6">
        <f t="shared" ref="Q486" si="1098">+L486-M486-N486+P486</f>
        <v>70.910000000000011</v>
      </c>
      <c r="R486" s="3"/>
      <c r="S486" s="3">
        <v>65.19</v>
      </c>
      <c r="T486" s="3">
        <v>4.72</v>
      </c>
      <c r="U486" s="3"/>
      <c r="V486" s="3"/>
      <c r="W486" s="3">
        <f>6.51+0.48</f>
        <v>6.99</v>
      </c>
      <c r="X486" s="2">
        <f t="shared" ref="X486" si="1099">+S486+T486++U486+V486-W486</f>
        <v>62.919999999999995</v>
      </c>
      <c r="Y486" s="6">
        <f t="shared" ref="Y486" si="1100">+Q486-X486</f>
        <v>7.9900000000000162</v>
      </c>
      <c r="Z486" s="6">
        <f>SUM(Y481:Y486)</f>
        <v>34.670000000000016</v>
      </c>
      <c r="AA486" s="2"/>
      <c r="AB486" s="2"/>
      <c r="AC486" s="3"/>
      <c r="AD486" s="2"/>
      <c r="AE486" s="2"/>
      <c r="AF486" s="2"/>
      <c r="AG486" s="2"/>
      <c r="AH486" s="2" t="s">
        <v>5445</v>
      </c>
      <c r="AI486" s="2" t="s">
        <v>5444</v>
      </c>
      <c r="AJ486" s="2"/>
      <c r="AK486" s="2"/>
      <c r="AL486" s="2" t="s">
        <v>5437</v>
      </c>
      <c r="AM486" s="16" t="s">
        <v>5606</v>
      </c>
      <c r="AN486" s="2"/>
      <c r="AO486" s="2" t="s">
        <v>5584</v>
      </c>
      <c r="AP486" s="2" t="s">
        <v>3696</v>
      </c>
      <c r="AQ486" s="2"/>
      <c r="AR486" s="16" t="s">
        <v>5585</v>
      </c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</row>
    <row r="487" spans="3:58" ht="17.25" customHeight="1">
      <c r="C487" s="1">
        <v>43983</v>
      </c>
      <c r="E487" s="2" t="s">
        <v>1922</v>
      </c>
      <c r="F487" s="15"/>
      <c r="G487" s="2" t="s">
        <v>5381</v>
      </c>
      <c r="H487" s="2" t="s">
        <v>5380</v>
      </c>
      <c r="I487" s="2"/>
      <c r="J487" s="2">
        <v>1</v>
      </c>
      <c r="K487" s="2"/>
      <c r="L487" s="3">
        <v>22.95</v>
      </c>
      <c r="M487" s="3">
        <v>2.29</v>
      </c>
      <c r="N487" s="3">
        <v>1.37</v>
      </c>
      <c r="O487" s="3">
        <v>1.29</v>
      </c>
      <c r="P487" s="3">
        <f>1.29-1.29</f>
        <v>0</v>
      </c>
      <c r="Q487" s="6">
        <f t="shared" ref="Q487:Q488" si="1101">+L487-M487-N487+P487</f>
        <v>19.29</v>
      </c>
      <c r="R487" s="3"/>
      <c r="S487" s="3">
        <v>11.95</v>
      </c>
      <c r="T487" s="3">
        <v>0.79</v>
      </c>
      <c r="U487" s="3"/>
      <c r="V487" s="3"/>
      <c r="W487" s="3"/>
      <c r="X487" s="3">
        <f t="shared" ref="X487:X489" si="1102">+S487+T487++U487+V487-W487</f>
        <v>12.739999999999998</v>
      </c>
      <c r="Y487" s="6">
        <f t="shared" ref="Y487:Y489" si="1103">+Q487-X487</f>
        <v>6.5500000000000007</v>
      </c>
      <c r="Z487" s="2"/>
      <c r="AA487" s="2"/>
      <c r="AB487" s="2"/>
      <c r="AC487" s="3"/>
      <c r="AD487" s="2"/>
      <c r="AE487" s="2"/>
      <c r="AF487" s="2"/>
      <c r="AG487" s="2"/>
      <c r="AH487" s="2" t="s">
        <v>5393</v>
      </c>
      <c r="AI487" s="2" t="s">
        <v>5392</v>
      </c>
      <c r="AJ487" s="2"/>
      <c r="AK487" s="2"/>
      <c r="AL487" s="2" t="s">
        <v>5460</v>
      </c>
      <c r="AM487" s="16" t="s">
        <v>5527</v>
      </c>
      <c r="AN487" s="2"/>
      <c r="AO487" s="2" t="s">
        <v>5489</v>
      </c>
      <c r="AP487" s="2" t="s">
        <v>5490</v>
      </c>
      <c r="AQ487" s="2"/>
      <c r="AR487" s="16" t="s">
        <v>5431</v>
      </c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</row>
    <row r="488" spans="3:58" ht="17.25" customHeight="1">
      <c r="C488" s="1">
        <v>43983</v>
      </c>
      <c r="E488" s="2" t="s">
        <v>7</v>
      </c>
      <c r="F488" s="15"/>
      <c r="G488" s="2" t="s">
        <v>5379</v>
      </c>
      <c r="H488" s="2" t="s">
        <v>5378</v>
      </c>
      <c r="I488" s="2"/>
      <c r="J488" s="2">
        <v>1</v>
      </c>
      <c r="K488" s="2"/>
      <c r="L488" s="3">
        <v>31.75</v>
      </c>
      <c r="M488" s="3">
        <v>3.17</v>
      </c>
      <c r="N488" s="3">
        <v>1.79</v>
      </c>
      <c r="O488" s="3"/>
      <c r="P488" s="3">
        <v>2.2200000000000002</v>
      </c>
      <c r="Q488" s="6">
        <f t="shared" si="1101"/>
        <v>29.009999999999998</v>
      </c>
      <c r="R488" s="3"/>
      <c r="S488" s="3">
        <v>39.99</v>
      </c>
      <c r="T488" s="3">
        <v>0</v>
      </c>
      <c r="U488" s="3">
        <v>0</v>
      </c>
      <c r="V488" s="3"/>
      <c r="W488" s="3"/>
      <c r="X488" s="2">
        <f t="shared" si="1102"/>
        <v>39.99</v>
      </c>
      <c r="Y488" s="38">
        <f t="shared" si="1103"/>
        <v>-10.980000000000004</v>
      </c>
      <c r="Z488" s="2"/>
      <c r="AA488" s="2"/>
      <c r="AB488" s="2"/>
      <c r="AC488" s="3"/>
      <c r="AD488" s="2"/>
      <c r="AE488" s="2"/>
      <c r="AF488" s="2"/>
      <c r="AG488" s="2"/>
      <c r="AH488" s="2" t="s">
        <v>5396</v>
      </c>
      <c r="AI488" s="2" t="s">
        <v>5395</v>
      </c>
      <c r="AJ488" s="2"/>
      <c r="AK488" s="2"/>
      <c r="AL488" s="2" t="s">
        <v>5437</v>
      </c>
      <c r="AM488" s="16" t="s">
        <v>5605</v>
      </c>
      <c r="AN488" s="2"/>
      <c r="AO488" s="14" t="s">
        <v>5576</v>
      </c>
      <c r="AP488" s="2" t="s">
        <v>5572</v>
      </c>
      <c r="AQ488" s="2"/>
      <c r="AR488" s="16" t="s">
        <v>5523</v>
      </c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</row>
    <row r="489" spans="3:58" ht="17.25" customHeight="1">
      <c r="C489" s="1">
        <v>43983</v>
      </c>
      <c r="E489" s="2" t="s">
        <v>5401</v>
      </c>
      <c r="F489" s="15"/>
      <c r="G489" s="2" t="s">
        <v>5377</v>
      </c>
      <c r="H489" s="2" t="s">
        <v>5533</v>
      </c>
      <c r="I489" s="2"/>
      <c r="J489" s="2">
        <v>1</v>
      </c>
      <c r="K489" s="2"/>
      <c r="L489" s="3">
        <v>19.649999999999999</v>
      </c>
      <c r="M489" s="3">
        <v>1.96</v>
      </c>
      <c r="N489" s="3">
        <v>1.1599999999999999</v>
      </c>
      <c r="O489" s="3">
        <v>0</v>
      </c>
      <c r="P489" s="3">
        <v>7.4</v>
      </c>
      <c r="Q489" s="6">
        <f>+L489-M489-N489+P489+O489</f>
        <v>23.93</v>
      </c>
      <c r="R489" s="3"/>
      <c r="S489" s="3">
        <v>12.3</v>
      </c>
      <c r="T489" s="3">
        <v>0</v>
      </c>
      <c r="U489" s="3">
        <v>6.75</v>
      </c>
      <c r="V489" s="3"/>
      <c r="W489" s="3">
        <v>0</v>
      </c>
      <c r="X489" s="2">
        <f t="shared" si="1102"/>
        <v>19.05</v>
      </c>
      <c r="Y489" s="6">
        <f t="shared" si="1103"/>
        <v>4.879999999999999</v>
      </c>
      <c r="Z489" s="2"/>
      <c r="AA489" s="2"/>
      <c r="AB489" s="2"/>
      <c r="AC489" s="3"/>
      <c r="AD489" s="2"/>
      <c r="AE489" s="2"/>
      <c r="AF489" s="2"/>
      <c r="AG489" s="2"/>
      <c r="AH489" s="2" t="s">
        <v>5400</v>
      </c>
      <c r="AI489" s="2" t="s">
        <v>5399</v>
      </c>
      <c r="AJ489" s="2"/>
      <c r="AK489" s="2"/>
      <c r="AL489" s="2" t="s">
        <v>5460</v>
      </c>
      <c r="AM489" s="16" t="s">
        <v>5663</v>
      </c>
      <c r="AN489" s="2"/>
      <c r="AO489" s="2" t="s">
        <v>5539</v>
      </c>
      <c r="AP489" s="2" t="s">
        <v>5541</v>
      </c>
      <c r="AQ489" s="2"/>
      <c r="AR489" s="2" t="s">
        <v>5540</v>
      </c>
      <c r="AS489" s="2"/>
      <c r="AT489" s="2"/>
      <c r="AU489" s="2" t="s">
        <v>5538</v>
      </c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</row>
    <row r="490" spans="3:58" ht="17.25" customHeight="1">
      <c r="C490" s="1">
        <v>43983</v>
      </c>
      <c r="E490" s="2" t="s">
        <v>772</v>
      </c>
      <c r="F490" s="15"/>
      <c r="G490" s="2" t="s">
        <v>5376</v>
      </c>
      <c r="H490" s="2" t="s">
        <v>5375</v>
      </c>
      <c r="I490" s="2"/>
      <c r="J490" s="2">
        <v>1</v>
      </c>
      <c r="K490" s="2"/>
      <c r="L490" s="3">
        <v>35.85</v>
      </c>
      <c r="M490" s="3">
        <v>3.58</v>
      </c>
      <c r="N490" s="3">
        <v>1.98</v>
      </c>
      <c r="O490" s="3">
        <v>2.2400000000000002</v>
      </c>
      <c r="P490" s="3">
        <f>2.24-2.24</f>
        <v>0</v>
      </c>
      <c r="Q490" s="6">
        <f t="shared" ref="Q490" si="1104">+L490-M490-N490+P490</f>
        <v>30.290000000000003</v>
      </c>
      <c r="R490" s="3"/>
      <c r="S490" s="3">
        <v>19.899999999999999</v>
      </c>
      <c r="T490" s="3">
        <v>1.24</v>
      </c>
      <c r="U490" s="3"/>
      <c r="V490" s="3"/>
      <c r="W490" s="3"/>
      <c r="X490" s="2">
        <f t="shared" ref="X490:X492" si="1105">+S490+T490++U490+V490-W490</f>
        <v>21.139999999999997</v>
      </c>
      <c r="Y490" s="6">
        <f t="shared" ref="Y490" si="1106">+Q490-X490</f>
        <v>9.1500000000000057</v>
      </c>
      <c r="Z490" s="2"/>
      <c r="AA490" s="2"/>
      <c r="AB490" s="2"/>
      <c r="AC490" s="3"/>
      <c r="AD490" s="2"/>
      <c r="AE490" s="2"/>
      <c r="AF490" s="2"/>
      <c r="AG490" s="2"/>
      <c r="AH490" s="2" t="s">
        <v>5409</v>
      </c>
      <c r="AI490" s="2" t="s">
        <v>5408</v>
      </c>
      <c r="AJ490" s="2"/>
      <c r="AK490" s="2"/>
      <c r="AL490" s="2" t="s">
        <v>5426</v>
      </c>
      <c r="AM490" s="2" t="s">
        <v>5648</v>
      </c>
      <c r="AN490" s="2"/>
      <c r="AO490" s="2" t="s">
        <v>5499</v>
      </c>
      <c r="AP490" s="2" t="s">
        <v>5412</v>
      </c>
      <c r="AQ490" s="2"/>
      <c r="AR490" s="16" t="s">
        <v>5417</v>
      </c>
      <c r="AS490" s="2"/>
      <c r="AT490" s="2"/>
      <c r="AU490" s="2" t="s">
        <v>5418</v>
      </c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</row>
    <row r="491" spans="3:58" ht="17.25" customHeight="1">
      <c r="C491" s="1">
        <v>43983</v>
      </c>
      <c r="E491" s="2" t="s">
        <v>1922</v>
      </c>
      <c r="F491" s="15"/>
      <c r="G491" s="2" t="s">
        <v>5809</v>
      </c>
      <c r="H491" s="2" t="s">
        <v>5822</v>
      </c>
      <c r="I491" s="2"/>
      <c r="J491" s="2">
        <v>1</v>
      </c>
      <c r="K491" s="2"/>
      <c r="L491" s="3">
        <v>22.95</v>
      </c>
      <c r="M491" s="3">
        <v>2.29</v>
      </c>
      <c r="N491" s="3">
        <v>1.38</v>
      </c>
      <c r="O491" s="3">
        <v>1.37</v>
      </c>
      <c r="P491" s="3">
        <f>1.37-1.37</f>
        <v>0</v>
      </c>
      <c r="Q491" s="6">
        <f t="shared" ref="Q491" si="1107">+L491-M491-N491+P491</f>
        <v>19.28</v>
      </c>
      <c r="R491" s="3"/>
      <c r="S491" s="3">
        <v>11.95</v>
      </c>
      <c r="T491" s="3">
        <v>0.72</v>
      </c>
      <c r="U491" s="3"/>
      <c r="V491" s="3"/>
      <c r="W491" s="3"/>
      <c r="X491" s="3">
        <f t="shared" ref="X491" si="1108">+S491+T491++U491+V491-W491</f>
        <v>12.67</v>
      </c>
      <c r="Y491" s="6">
        <f t="shared" ref="Y491" si="1109">+Q491-X491</f>
        <v>6.6100000000000012</v>
      </c>
      <c r="Z491" s="2"/>
      <c r="AA491" s="2"/>
      <c r="AB491" s="2"/>
      <c r="AC491" s="3"/>
      <c r="AD491" s="2"/>
      <c r="AE491" s="2"/>
      <c r="AF491" s="2"/>
      <c r="AG491" s="2"/>
      <c r="AH491" s="2" t="s">
        <v>5391</v>
      </c>
      <c r="AI491" s="2" t="s">
        <v>5390</v>
      </c>
      <c r="AJ491" s="2"/>
      <c r="AK491" s="2"/>
      <c r="AL491" s="2" t="s">
        <v>5448</v>
      </c>
      <c r="AM491" s="16" t="s">
        <v>5823</v>
      </c>
      <c r="AN491" s="2"/>
      <c r="AO491" s="2" t="s">
        <v>5416</v>
      </c>
      <c r="AP491" s="2" t="s">
        <v>5412</v>
      </c>
      <c r="AQ491" s="2"/>
      <c r="AR491" s="16" t="s">
        <v>5417</v>
      </c>
      <c r="AS491" s="2"/>
      <c r="AT491" s="2"/>
      <c r="AU491" s="2" t="s">
        <v>5647</v>
      </c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</row>
    <row r="492" spans="3:58" ht="17.25" customHeight="1">
      <c r="C492" s="1">
        <v>43983</v>
      </c>
      <c r="E492" s="2" t="s">
        <v>7</v>
      </c>
      <c r="F492" s="15"/>
      <c r="G492" s="2" t="s">
        <v>5570</v>
      </c>
      <c r="H492" s="2" t="s">
        <v>5374</v>
      </c>
      <c r="I492" s="2"/>
      <c r="J492" s="2">
        <v>2</v>
      </c>
      <c r="K492" s="2"/>
      <c r="L492" s="3">
        <v>63.5</v>
      </c>
      <c r="M492" s="3">
        <v>6.35</v>
      </c>
      <c r="N492" s="3">
        <v>3.29</v>
      </c>
      <c r="O492" s="3"/>
      <c r="P492" s="3">
        <v>4.45</v>
      </c>
      <c r="Q492" s="6">
        <f t="shared" ref="Q492" si="1110">+L492-M492-N492+P492</f>
        <v>58.31</v>
      </c>
      <c r="R492" s="3"/>
      <c r="S492" s="3">
        <v>80</v>
      </c>
      <c r="T492" s="3">
        <v>0</v>
      </c>
      <c r="U492" s="3">
        <v>0</v>
      </c>
      <c r="V492" s="3"/>
      <c r="W492" s="3"/>
      <c r="X492" s="2">
        <f t="shared" si="1105"/>
        <v>80</v>
      </c>
      <c r="Y492" s="38">
        <f t="shared" ref="Y492" si="1111">+Q492-X492</f>
        <v>-21.689999999999998</v>
      </c>
      <c r="Z492" s="2"/>
      <c r="AA492" s="2"/>
      <c r="AB492" s="2"/>
      <c r="AC492" s="3"/>
      <c r="AD492" s="2"/>
      <c r="AE492" s="2"/>
      <c r="AF492" s="2"/>
      <c r="AG492" s="2"/>
      <c r="AH492" s="2" t="s">
        <v>5389</v>
      </c>
      <c r="AI492" s="2" t="s">
        <v>5388</v>
      </c>
      <c r="AJ492" s="2"/>
      <c r="AK492" s="2"/>
      <c r="AL492" s="2" t="s">
        <v>5437</v>
      </c>
      <c r="AM492" s="16" t="s">
        <v>5587</v>
      </c>
      <c r="AN492" s="2"/>
      <c r="AO492" s="2" t="s">
        <v>5571</v>
      </c>
      <c r="AP492" s="2" t="s">
        <v>5572</v>
      </c>
      <c r="AQ492" s="2"/>
      <c r="AR492" s="16" t="s">
        <v>5417</v>
      </c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</row>
    <row r="493" spans="3:58" ht="17.25" customHeight="1">
      <c r="C493" s="1">
        <v>43983</v>
      </c>
      <c r="E493" s="2" t="s">
        <v>1922</v>
      </c>
      <c r="F493" s="15"/>
      <c r="G493" s="2" t="s">
        <v>5373</v>
      </c>
      <c r="H493" s="2" t="s">
        <v>5372</v>
      </c>
      <c r="I493" s="2"/>
      <c r="J493" s="2">
        <v>1</v>
      </c>
      <c r="K493" s="2"/>
      <c r="L493" s="3">
        <v>22.95</v>
      </c>
      <c r="M493" s="3">
        <v>2.29</v>
      </c>
      <c r="N493" s="3">
        <v>1.38</v>
      </c>
      <c r="O493" s="3">
        <v>1.61</v>
      </c>
      <c r="P493" s="3">
        <f>1.61-1.61</f>
        <v>0</v>
      </c>
      <c r="Q493" s="6">
        <f t="shared" ref="Q493" si="1112">+L493-M493-N493+P493</f>
        <v>19.28</v>
      </c>
      <c r="R493" s="3"/>
      <c r="S493" s="3">
        <v>11.95</v>
      </c>
      <c r="T493" s="3">
        <v>0.84</v>
      </c>
      <c r="U493" s="3"/>
      <c r="V493" s="3"/>
      <c r="W493" s="3"/>
      <c r="X493" s="3">
        <f t="shared" ref="X493" si="1113">+S493+T493++U493+V493-W493</f>
        <v>12.79</v>
      </c>
      <c r="Y493" s="6">
        <f t="shared" ref="Y493" si="1114">+Q493-X493</f>
        <v>6.490000000000002</v>
      </c>
      <c r="Z493" s="2"/>
      <c r="AA493" s="2"/>
      <c r="AB493" s="2"/>
      <c r="AC493" s="3"/>
      <c r="AD493" s="2"/>
      <c r="AE493" s="2"/>
      <c r="AF493" s="2"/>
      <c r="AG493" s="2"/>
      <c r="AH493" s="2" t="s">
        <v>5387</v>
      </c>
      <c r="AI493" s="2" t="s">
        <v>5386</v>
      </c>
      <c r="AJ493" s="2"/>
      <c r="AK493" s="2"/>
      <c r="AL493" s="2" t="s">
        <v>5460</v>
      </c>
      <c r="AM493" s="16" t="s">
        <v>5459</v>
      </c>
      <c r="AN493" s="2"/>
      <c r="AO493" s="2" t="s">
        <v>5434</v>
      </c>
      <c r="AP493" s="2" t="s">
        <v>5412</v>
      </c>
      <c r="AQ493" s="2"/>
      <c r="AR493" s="16" t="s">
        <v>5435</v>
      </c>
      <c r="AS493" s="2"/>
      <c r="AT493" s="2"/>
      <c r="AU493" s="2" t="s">
        <v>5421</v>
      </c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</row>
    <row r="494" spans="3:58" ht="17.25" customHeight="1">
      <c r="C494" s="1">
        <v>43983</v>
      </c>
      <c r="E494" s="2" t="s">
        <v>4764</v>
      </c>
      <c r="F494" s="15"/>
      <c r="G494" s="2" t="s">
        <v>5367</v>
      </c>
      <c r="H494" s="2" t="s">
        <v>5394</v>
      </c>
      <c r="I494" s="2"/>
      <c r="J494" s="2">
        <v>0</v>
      </c>
      <c r="K494" s="2"/>
      <c r="L494" s="3">
        <v>0</v>
      </c>
      <c r="M494" s="3">
        <v>0</v>
      </c>
      <c r="N494" s="3">
        <v>0</v>
      </c>
      <c r="O494" s="3"/>
      <c r="P494" s="3">
        <v>0</v>
      </c>
      <c r="Q494" s="6">
        <f t="shared" ref="Q494" si="1115">+L494-M494-N494+P494</f>
        <v>0</v>
      </c>
      <c r="R494" s="3"/>
      <c r="S494" s="3">
        <v>0</v>
      </c>
      <c r="T494" s="3">
        <v>0</v>
      </c>
      <c r="U494" s="3"/>
      <c r="V494" s="3"/>
      <c r="W494" s="3"/>
      <c r="X494" s="3">
        <f t="shared" ref="X494" si="1116">+S494+T494++U494+V494-W494</f>
        <v>0</v>
      </c>
      <c r="Y494" s="6">
        <f t="shared" ref="Y494" si="1117">+Q494-X494</f>
        <v>0</v>
      </c>
      <c r="Z494" s="2"/>
      <c r="AA494" s="2"/>
      <c r="AB494" s="2"/>
      <c r="AC494" s="3"/>
      <c r="AD494" s="2"/>
      <c r="AE494" s="2"/>
      <c r="AF494" s="2"/>
      <c r="AG494" s="2"/>
      <c r="AH494" s="2" t="s">
        <v>5420</v>
      </c>
      <c r="AI494" s="2" t="s">
        <v>5419</v>
      </c>
      <c r="AJ494" s="2"/>
      <c r="AK494" s="2"/>
      <c r="AL494" s="2"/>
      <c r="AM494" s="5" t="s">
        <v>5407</v>
      </c>
      <c r="AN494" s="2"/>
      <c r="AO494" s="5" t="s">
        <v>5407</v>
      </c>
      <c r="AP494" s="2"/>
      <c r="AQ494" s="2"/>
      <c r="AR494" s="2"/>
      <c r="AS494" s="2"/>
      <c r="AT494" s="2"/>
      <c r="AU494" s="2" t="s">
        <v>5398</v>
      </c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</row>
    <row r="495" spans="3:58" ht="17.25" customHeight="1">
      <c r="C495" s="1">
        <v>43983</v>
      </c>
      <c r="E495" s="2" t="s">
        <v>4505</v>
      </c>
      <c r="F495" s="15"/>
      <c r="G495" s="2" t="s">
        <v>5364</v>
      </c>
      <c r="H495" s="2" t="s">
        <v>5363</v>
      </c>
      <c r="I495" s="2"/>
      <c r="J495" s="2">
        <v>1</v>
      </c>
      <c r="K495" s="2"/>
      <c r="L495" s="3">
        <v>35.85</v>
      </c>
      <c r="M495" s="3">
        <v>3.58</v>
      </c>
      <c r="N495" s="3">
        <v>1.97</v>
      </c>
      <c r="O495" s="3">
        <f>2.51+2.38</f>
        <v>4.8899999999999997</v>
      </c>
      <c r="P495" s="3">
        <f>2.51-2.51+2.38-2.38</f>
        <v>0</v>
      </c>
      <c r="Q495" s="6">
        <f t="shared" ref="Q495" si="1118">+L495-M495-N495+P495</f>
        <v>30.300000000000004</v>
      </c>
      <c r="R495" s="3"/>
      <c r="S495" s="3">
        <v>19.899999999999999</v>
      </c>
      <c r="T495" s="3">
        <v>1.19</v>
      </c>
      <c r="U495" s="3"/>
      <c r="V495" s="3"/>
      <c r="W495" s="3"/>
      <c r="X495" s="2">
        <f t="shared" ref="X495" si="1119">+S495+T495++U495+V495-W495</f>
        <v>21.09</v>
      </c>
      <c r="Y495" s="6">
        <f t="shared" ref="Y495" si="1120">+Q495-X495</f>
        <v>9.2100000000000044</v>
      </c>
      <c r="Z495" s="2"/>
      <c r="AA495" s="2"/>
      <c r="AB495" s="2"/>
      <c r="AC495" s="3"/>
      <c r="AD495" s="2"/>
      <c r="AE495" s="2"/>
      <c r="AF495" s="2"/>
      <c r="AG495" s="2"/>
      <c r="AH495" s="2" t="s">
        <v>5366</v>
      </c>
      <c r="AI495" s="2" t="s">
        <v>5365</v>
      </c>
      <c r="AJ495" s="2"/>
      <c r="AK495" s="2"/>
      <c r="AL495" s="2" t="s">
        <v>5426</v>
      </c>
      <c r="AM495" s="2" t="s">
        <v>5589</v>
      </c>
      <c r="AN495" s="2"/>
      <c r="AO495" s="2" t="s">
        <v>5498</v>
      </c>
      <c r="AP495" s="2" t="s">
        <v>591</v>
      </c>
      <c r="AQ495" s="2"/>
      <c r="AR495" s="16" t="s">
        <v>5417</v>
      </c>
      <c r="AS495" s="16" t="s">
        <v>5520</v>
      </c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</row>
    <row r="496" spans="3:58" ht="17.25" customHeight="1">
      <c r="C496" s="1">
        <v>43983</v>
      </c>
      <c r="E496" s="2" t="s">
        <v>5254</v>
      </c>
      <c r="F496" s="15"/>
      <c r="G496" s="2" t="s">
        <v>5346</v>
      </c>
      <c r="H496" s="2" t="s">
        <v>5397</v>
      </c>
      <c r="I496" s="2"/>
      <c r="J496" s="2">
        <v>1</v>
      </c>
      <c r="K496" s="2"/>
      <c r="L496" s="3">
        <v>31.5</v>
      </c>
      <c r="M496" s="3">
        <v>3.15</v>
      </c>
      <c r="N496" s="3">
        <f>1.7+0.83</f>
        <v>2.5299999999999998</v>
      </c>
      <c r="O496" s="3">
        <v>12</v>
      </c>
      <c r="P496" s="3">
        <v>0</v>
      </c>
      <c r="Q496" s="6">
        <f>+L496-M496-N496+P496+O496</f>
        <v>37.82</v>
      </c>
      <c r="R496" s="3"/>
      <c r="S496" s="3">
        <v>18.89</v>
      </c>
      <c r="T496" s="3">
        <v>1.54</v>
      </c>
      <c r="U496" s="3">
        <v>0</v>
      </c>
      <c r="V496" s="3"/>
      <c r="W496" s="3"/>
      <c r="X496" s="2">
        <f t="shared" ref="X496:X497" si="1121">+S496+T496++U496+V496-W496</f>
        <v>20.43</v>
      </c>
      <c r="Y496" s="6">
        <f t="shared" ref="Y496:Y497" si="1122">+Q496-X496</f>
        <v>17.39</v>
      </c>
      <c r="Z496" s="2"/>
      <c r="AA496" s="2"/>
      <c r="AB496" s="2"/>
      <c r="AC496" s="3"/>
      <c r="AD496" s="2"/>
      <c r="AE496" s="2"/>
      <c r="AF496" s="2"/>
      <c r="AG496" s="2"/>
      <c r="AH496" s="2" t="s">
        <v>5357</v>
      </c>
      <c r="AI496" s="2" t="s">
        <v>5356</v>
      </c>
      <c r="AJ496" s="2"/>
      <c r="AK496" s="2"/>
      <c r="AL496" s="2" t="s">
        <v>2926</v>
      </c>
      <c r="AM496" s="16" t="s">
        <v>6752</v>
      </c>
      <c r="AN496" s="2"/>
      <c r="AO496" s="2" t="s">
        <v>5433</v>
      </c>
      <c r="AP496" s="2" t="s">
        <v>5412</v>
      </c>
      <c r="AQ496" s="2"/>
      <c r="AR496" s="5" t="s">
        <v>5978</v>
      </c>
      <c r="AS496" s="16" t="s">
        <v>6229</v>
      </c>
      <c r="AT496" s="2" t="s">
        <v>6300</v>
      </c>
      <c r="AU496" s="2" t="s">
        <v>6299</v>
      </c>
      <c r="AV496" s="2" t="s">
        <v>7485</v>
      </c>
      <c r="AW496" s="2"/>
      <c r="AX496" s="2"/>
      <c r="AY496" s="2"/>
      <c r="AZ496" s="2"/>
      <c r="BA496" s="2"/>
      <c r="BB496" s="2"/>
      <c r="BC496" s="2"/>
      <c r="BD496" s="2"/>
      <c r="BE496" s="2"/>
      <c r="BF496" s="2"/>
    </row>
    <row r="497" spans="3:58" ht="17.25" customHeight="1">
      <c r="C497" s="1">
        <v>43983</v>
      </c>
      <c r="E497" s="2" t="s">
        <v>5254</v>
      </c>
      <c r="F497" s="15"/>
      <c r="G497" s="2" t="s">
        <v>5351</v>
      </c>
      <c r="H497" s="2" t="s">
        <v>5350</v>
      </c>
      <c r="I497" s="2"/>
      <c r="J497" s="2">
        <v>1</v>
      </c>
      <c r="K497" s="2"/>
      <c r="L497" s="3">
        <v>22.95</v>
      </c>
      <c r="M497" s="3">
        <v>2.29</v>
      </c>
      <c r="N497" s="3">
        <v>1.39</v>
      </c>
      <c r="O497" s="3">
        <v>1.89</v>
      </c>
      <c r="P497" s="3">
        <f>1.89-1.89</f>
        <v>0</v>
      </c>
      <c r="Q497" s="6">
        <f t="shared" ref="Q497" si="1123">+L497-M497-N497+P497</f>
        <v>19.27</v>
      </c>
      <c r="R497" s="3"/>
      <c r="S497" s="3">
        <v>11.95</v>
      </c>
      <c r="T497" s="3">
        <v>0.98</v>
      </c>
      <c r="U497" s="3"/>
      <c r="V497" s="3"/>
      <c r="W497" s="3"/>
      <c r="X497" s="3">
        <f t="shared" si="1121"/>
        <v>12.93</v>
      </c>
      <c r="Y497" s="6">
        <f t="shared" si="1122"/>
        <v>6.34</v>
      </c>
      <c r="Z497" s="2"/>
      <c r="AA497" s="2"/>
      <c r="AB497" s="2"/>
      <c r="AC497" s="3"/>
      <c r="AD497" s="2"/>
      <c r="AE497" s="2"/>
      <c r="AF497" s="2"/>
      <c r="AG497" s="2"/>
      <c r="AH497" s="2" t="s">
        <v>5406</v>
      </c>
      <c r="AI497" s="2" t="s">
        <v>5405</v>
      </c>
      <c r="AJ497" s="2"/>
      <c r="AK497" s="2"/>
      <c r="AL497" s="2" t="s">
        <v>5437</v>
      </c>
      <c r="AM497" s="16" t="s">
        <v>5603</v>
      </c>
      <c r="AN497" s="2"/>
      <c r="AO497" s="2" t="s">
        <v>5573</v>
      </c>
      <c r="AP497" s="2" t="s">
        <v>5572</v>
      </c>
      <c r="AQ497" s="2"/>
      <c r="AR497" s="16" t="s">
        <v>5523</v>
      </c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</row>
    <row r="498" spans="3:58" ht="17.25" customHeight="1">
      <c r="C498" s="1">
        <v>43983</v>
      </c>
      <c r="E498" s="2" t="s">
        <v>4764</v>
      </c>
      <c r="F498" s="15"/>
      <c r="G498" s="2" t="s">
        <v>5349</v>
      </c>
      <c r="H498" s="2" t="s">
        <v>5348</v>
      </c>
      <c r="I498" s="2"/>
      <c r="J498" s="2">
        <v>1</v>
      </c>
      <c r="K498" s="2"/>
      <c r="L498" s="3">
        <v>22.95</v>
      </c>
      <c r="M498" s="3">
        <v>2.29</v>
      </c>
      <c r="N498" s="3">
        <v>1.39</v>
      </c>
      <c r="O498" s="3">
        <v>1.89</v>
      </c>
      <c r="P498" s="3">
        <f>1.89-1.89</f>
        <v>0</v>
      </c>
      <c r="Q498" s="6">
        <f t="shared" ref="Q498" si="1124">+L498-M498-N498+P498</f>
        <v>19.27</v>
      </c>
      <c r="R498" s="3"/>
      <c r="S498" s="3">
        <v>11.95</v>
      </c>
      <c r="T498" s="3">
        <v>0.99</v>
      </c>
      <c r="U498" s="3"/>
      <c r="V498" s="3"/>
      <c r="W498" s="3"/>
      <c r="X498" s="3">
        <f t="shared" ref="X498" si="1125">+S498+T498++U498+V498-W498</f>
        <v>12.94</v>
      </c>
      <c r="Y498" s="6">
        <f t="shared" ref="Y498" si="1126">+Q498-X498</f>
        <v>6.33</v>
      </c>
      <c r="Z498" s="2"/>
      <c r="AA498" s="2"/>
      <c r="AB498" s="2"/>
      <c r="AC498" s="3"/>
      <c r="AD498" s="2"/>
      <c r="AE498" s="2"/>
      <c r="AF498" s="2"/>
      <c r="AG498" s="2"/>
      <c r="AH498" s="2" t="s">
        <v>5355</v>
      </c>
      <c r="AI498" s="2" t="s">
        <v>5354</v>
      </c>
      <c r="AJ498" s="2"/>
      <c r="AK498" s="2"/>
      <c r="AL498" s="2" t="s">
        <v>5426</v>
      </c>
      <c r="AM498" s="2" t="s">
        <v>5432</v>
      </c>
      <c r="AN498" s="2"/>
      <c r="AO498" s="2" t="s">
        <v>5410</v>
      </c>
      <c r="AP498" s="2" t="s">
        <v>5412</v>
      </c>
      <c r="AQ498" s="2"/>
      <c r="AR498" s="16" t="s">
        <v>5411</v>
      </c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</row>
    <row r="499" spans="3:58" ht="17.25" customHeight="1">
      <c r="C499" s="1">
        <v>43983</v>
      </c>
      <c r="E499" s="2" t="s">
        <v>5265</v>
      </c>
      <c r="F499" s="15"/>
      <c r="G499" s="2" t="s">
        <v>5347</v>
      </c>
      <c r="H499" s="2" t="s">
        <v>5516</v>
      </c>
      <c r="I499" s="2"/>
      <c r="J499" s="2">
        <v>2</v>
      </c>
      <c r="K499" s="2"/>
      <c r="L499" s="3">
        <v>59</v>
      </c>
      <c r="M499" s="3">
        <v>5.9</v>
      </c>
      <c r="N499" s="3">
        <v>3.14</v>
      </c>
      <c r="O499" s="3">
        <v>5.46</v>
      </c>
      <c r="P499" s="3">
        <f>5.46-5.46</f>
        <v>0</v>
      </c>
      <c r="Q499" s="6">
        <f t="shared" ref="Q499" si="1127">+L499-M499-N499+P499</f>
        <v>49.96</v>
      </c>
      <c r="R499" s="3"/>
      <c r="S499" s="3">
        <v>29.96</v>
      </c>
      <c r="T499" s="3">
        <v>2.77</v>
      </c>
      <c r="U499" s="3"/>
      <c r="V499" s="3"/>
      <c r="W499" s="3"/>
      <c r="X499" s="2">
        <f t="shared" ref="X499" si="1128">+S499+T499++U499+V499-W499</f>
        <v>32.730000000000004</v>
      </c>
      <c r="Y499" s="6">
        <f t="shared" ref="Y499" si="1129">+Q499-X499</f>
        <v>17.229999999999997</v>
      </c>
      <c r="Z499" s="2"/>
      <c r="AA499" s="2"/>
      <c r="AB499" s="2"/>
      <c r="AC499" s="3"/>
      <c r="AD499" s="2"/>
      <c r="AE499" s="2"/>
      <c r="AF499" s="2"/>
      <c r="AG499" s="2"/>
      <c r="AH499" s="2" t="s">
        <v>5353</v>
      </c>
      <c r="AI499" s="2" t="s">
        <v>5352</v>
      </c>
      <c r="AJ499" s="2"/>
      <c r="AK499" s="2"/>
      <c r="AL499" s="2" t="s">
        <v>5426</v>
      </c>
      <c r="AM499" s="2" t="s">
        <v>5790</v>
      </c>
      <c r="AN499" s="2"/>
      <c r="AO499" s="2" t="s">
        <v>5530</v>
      </c>
      <c r="AP499" s="2" t="s">
        <v>5515</v>
      </c>
      <c r="AQ499" s="2"/>
      <c r="AR499" s="16" t="s">
        <v>5531</v>
      </c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</row>
    <row r="500" spans="3:58" ht="17.25" customHeight="1">
      <c r="C500" s="1">
        <v>43983</v>
      </c>
      <c r="E500" s="2" t="s">
        <v>5265</v>
      </c>
      <c r="F500" s="15"/>
      <c r="G500" s="2" t="s">
        <v>5342</v>
      </c>
      <c r="H500" s="2" t="s">
        <v>5341</v>
      </c>
      <c r="I500" s="2"/>
      <c r="J500" s="2">
        <v>1</v>
      </c>
      <c r="K500" s="2"/>
      <c r="L500" s="3">
        <v>29.5</v>
      </c>
      <c r="M500" s="3">
        <v>2.95</v>
      </c>
      <c r="N500" s="3">
        <v>1.67</v>
      </c>
      <c r="O500" s="3">
        <v>1.65</v>
      </c>
      <c r="P500" s="3">
        <f>1.65-1.65</f>
        <v>0</v>
      </c>
      <c r="Q500" s="6">
        <f t="shared" ref="Q500" si="1130">+L500-M500-N500+P500</f>
        <v>24.880000000000003</v>
      </c>
      <c r="R500" s="3"/>
      <c r="S500" s="3">
        <v>14.98</v>
      </c>
      <c r="T500" s="3">
        <v>0.84</v>
      </c>
      <c r="U500" s="3"/>
      <c r="V500" s="3"/>
      <c r="W500" s="3"/>
      <c r="X500" s="2">
        <f t="shared" ref="X500" si="1131">+S500+T500++U500+V500-W500</f>
        <v>15.82</v>
      </c>
      <c r="Y500" s="6">
        <f t="shared" ref="Y500" si="1132">+Q500-X500</f>
        <v>9.0600000000000023</v>
      </c>
      <c r="Z500" s="2"/>
      <c r="AA500" s="2"/>
      <c r="AB500" s="2"/>
      <c r="AC500" s="3"/>
      <c r="AD500" s="2"/>
      <c r="AE500" s="2"/>
      <c r="AF500" s="2"/>
      <c r="AG500" s="2"/>
      <c r="AH500" s="2" t="s">
        <v>5344</v>
      </c>
      <c r="AI500" s="2" t="s">
        <v>5343</v>
      </c>
      <c r="AJ500" s="2"/>
      <c r="AK500" s="2"/>
      <c r="AL500" s="2" t="s">
        <v>5460</v>
      </c>
      <c r="AM500" s="16" t="s">
        <v>5566</v>
      </c>
      <c r="AN500" s="2"/>
      <c r="AO500" s="2" t="s">
        <v>5507</v>
      </c>
      <c r="AP500" s="2" t="s">
        <v>5515</v>
      </c>
      <c r="AQ500" s="2"/>
      <c r="AR500" s="16" t="s">
        <v>5417</v>
      </c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</row>
    <row r="501" spans="3:58" ht="17.25" customHeight="1">
      <c r="C501" s="1">
        <v>43983</v>
      </c>
      <c r="E501" s="2" t="s">
        <v>4075</v>
      </c>
      <c r="F501" s="15"/>
      <c r="G501" s="2" t="s">
        <v>5332</v>
      </c>
      <c r="H501" s="2" t="s">
        <v>5331</v>
      </c>
      <c r="I501" s="2"/>
      <c r="J501" s="2">
        <v>1</v>
      </c>
      <c r="K501" s="2"/>
      <c r="L501" s="3">
        <v>31.5</v>
      </c>
      <c r="M501" s="3">
        <v>3.15</v>
      </c>
      <c r="N501" s="3">
        <v>1.77</v>
      </c>
      <c r="O501" s="3">
        <v>1.89</v>
      </c>
      <c r="P501" s="3">
        <f>1.89-1.89</f>
        <v>0</v>
      </c>
      <c r="Q501" s="6">
        <f t="shared" ref="Q501" si="1133">+L501-M501-N501+P501</f>
        <v>26.580000000000002</v>
      </c>
      <c r="R501" s="3"/>
      <c r="S501" s="3">
        <v>20.95</v>
      </c>
      <c r="T501" s="3">
        <v>1.26</v>
      </c>
      <c r="U501" s="3"/>
      <c r="V501" s="3"/>
      <c r="W501" s="3"/>
      <c r="X501" s="2">
        <f t="shared" ref="X501" si="1134">+S501+T501++U501+V501-W501</f>
        <v>22.21</v>
      </c>
      <c r="Y501" s="6">
        <f t="shared" ref="Y501" si="1135">+Q501-X501</f>
        <v>4.370000000000001</v>
      </c>
      <c r="Z501" s="2"/>
      <c r="AA501" s="2"/>
      <c r="AB501" s="2"/>
      <c r="AC501" s="3"/>
      <c r="AD501" s="2"/>
      <c r="AE501" s="2"/>
      <c r="AF501" s="2"/>
      <c r="AG501" s="2"/>
      <c r="AH501" s="2" t="s">
        <v>5334</v>
      </c>
      <c r="AI501" s="2" t="s">
        <v>5333</v>
      </c>
      <c r="AJ501" s="2"/>
      <c r="AK501" s="2"/>
      <c r="AL501" s="2" t="s">
        <v>5426</v>
      </c>
      <c r="AM501" s="2" t="s">
        <v>5562</v>
      </c>
      <c r="AN501" s="2"/>
      <c r="AO501" s="2" t="s">
        <v>5529</v>
      </c>
      <c r="AP501" s="2" t="s">
        <v>4825</v>
      </c>
      <c r="AQ501" s="2"/>
      <c r="AR501" s="16" t="s">
        <v>5502</v>
      </c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</row>
    <row r="502" spans="3:58" ht="17.25" customHeight="1">
      <c r="C502" s="1">
        <v>43983</v>
      </c>
      <c r="E502" s="2" t="s">
        <v>4505</v>
      </c>
      <c r="F502" s="15"/>
      <c r="G502" s="2" t="s">
        <v>5340</v>
      </c>
      <c r="H502" s="2" t="s">
        <v>5384</v>
      </c>
      <c r="I502" s="2"/>
      <c r="J502" s="2">
        <v>0</v>
      </c>
      <c r="K502" s="2"/>
      <c r="L502" s="3">
        <v>0</v>
      </c>
      <c r="M502" s="3">
        <v>0</v>
      </c>
      <c r="N502" s="3">
        <v>0</v>
      </c>
      <c r="O502" s="3">
        <f>2.51+2.38</f>
        <v>4.8899999999999997</v>
      </c>
      <c r="P502" s="3">
        <f>2.51-2.51+2.38-2.38</f>
        <v>0</v>
      </c>
      <c r="Q502" s="6">
        <f t="shared" ref="Q502" si="1136">+L502-M502-N502+P502</f>
        <v>0</v>
      </c>
      <c r="R502" s="3"/>
      <c r="S502" s="3">
        <v>0</v>
      </c>
      <c r="T502" s="3">
        <v>0</v>
      </c>
      <c r="U502" s="3"/>
      <c r="V502" s="3"/>
      <c r="W502" s="3"/>
      <c r="X502" s="2">
        <f t="shared" ref="X502" si="1137">+S502+T502++U502+V502-W502</f>
        <v>0</v>
      </c>
      <c r="Y502" s="6">
        <f t="shared" ref="Y502" si="1138">+Q502-X502</f>
        <v>0</v>
      </c>
      <c r="Z502" s="2"/>
      <c r="AA502" s="2"/>
      <c r="AB502" s="2"/>
      <c r="AC502" s="3"/>
      <c r="AD502" s="2"/>
      <c r="AE502" s="2"/>
      <c r="AF502" s="2"/>
      <c r="AG502" s="2"/>
      <c r="AH502" s="2" t="s">
        <v>5326</v>
      </c>
      <c r="AI502" s="2" t="s">
        <v>5325</v>
      </c>
      <c r="AJ502" s="2"/>
      <c r="AK502" s="2"/>
      <c r="AL502" s="2"/>
      <c r="AM502" s="5" t="s">
        <v>5345</v>
      </c>
      <c r="AN502" s="2"/>
      <c r="AO502" s="5" t="s">
        <v>5345</v>
      </c>
      <c r="AP502" s="2"/>
      <c r="AQ502" s="2"/>
      <c r="AR502" s="2"/>
      <c r="AS502" s="2"/>
      <c r="AT502" s="2"/>
      <c r="AU502" s="2" t="s">
        <v>5383</v>
      </c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</row>
    <row r="503" spans="3:58" ht="17.25" customHeight="1">
      <c r="C503" s="1">
        <v>43983</v>
      </c>
      <c r="E503" s="2" t="s">
        <v>4505</v>
      </c>
      <c r="F503" s="15"/>
      <c r="G503" s="2" t="s">
        <v>5324</v>
      </c>
      <c r="H503" s="2" t="s">
        <v>5323</v>
      </c>
      <c r="I503" s="2"/>
      <c r="J503" s="2">
        <v>1</v>
      </c>
      <c r="K503" s="2"/>
      <c r="L503" s="3">
        <v>35.85</v>
      </c>
      <c r="M503" s="3">
        <v>3.58</v>
      </c>
      <c r="N503" s="3">
        <v>1.98</v>
      </c>
      <c r="O503" s="3">
        <v>2.42</v>
      </c>
      <c r="P503" s="3">
        <f>2.42-2.42</f>
        <v>0</v>
      </c>
      <c r="Q503" s="6">
        <f t="shared" ref="Q503" si="1139">+L503-M503-N503+P503</f>
        <v>30.290000000000003</v>
      </c>
      <c r="R503" s="3"/>
      <c r="S503" s="3">
        <v>19.899999999999999</v>
      </c>
      <c r="T503" s="3">
        <v>1.34</v>
      </c>
      <c r="U503" s="3"/>
      <c r="V503" s="3"/>
      <c r="W503" s="3"/>
      <c r="X503" s="2">
        <f t="shared" ref="X503" si="1140">+S503+T503++U503+V503-W503</f>
        <v>21.24</v>
      </c>
      <c r="Y503" s="6">
        <f t="shared" ref="Y503" si="1141">+Q503-X503</f>
        <v>9.0500000000000043</v>
      </c>
      <c r="Z503" s="6">
        <f>SUM(Y487:Y503)</f>
        <v>79.990000000000009</v>
      </c>
      <c r="AA503" s="2"/>
      <c r="AB503" s="2"/>
      <c r="AC503" s="3"/>
      <c r="AD503" s="2"/>
      <c r="AE503" s="2"/>
      <c r="AF503" s="2"/>
      <c r="AG503" s="2"/>
      <c r="AH503" s="2" t="s">
        <v>5328</v>
      </c>
      <c r="AI503" s="2" t="s">
        <v>5327</v>
      </c>
      <c r="AJ503" s="2"/>
      <c r="AK503" s="2"/>
      <c r="AL503" s="2" t="s">
        <v>5460</v>
      </c>
      <c r="AM503" s="40" t="s">
        <v>5670</v>
      </c>
      <c r="AN503" s="2"/>
      <c r="AO503" s="2" t="s">
        <v>5497</v>
      </c>
      <c r="AP503" s="2" t="s">
        <v>591</v>
      </c>
      <c r="AQ503" s="2"/>
      <c r="AR503" s="16" t="s">
        <v>5417</v>
      </c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</row>
    <row r="504" spans="3:58" ht="17.25" customHeight="1">
      <c r="C504" s="1"/>
      <c r="E504" s="2"/>
      <c r="F504" s="15"/>
      <c r="G504" s="2"/>
      <c r="H504" s="2"/>
      <c r="I504" s="2"/>
      <c r="J504" s="3">
        <f>SUM(J295:J503)</f>
        <v>205</v>
      </c>
      <c r="K504" s="2"/>
      <c r="L504" s="3">
        <f t="shared" ref="L504:Q504" si="1142">SUM(L295:L503)</f>
        <v>7999.4599999999928</v>
      </c>
      <c r="M504" s="3">
        <f t="shared" si="1142"/>
        <v>799.3900000000001</v>
      </c>
      <c r="N504" s="3">
        <f t="shared" si="1142"/>
        <v>432.8100000000004</v>
      </c>
      <c r="O504" s="3">
        <f t="shared" si="1142"/>
        <v>487.77</v>
      </c>
      <c r="P504" s="3">
        <f t="shared" si="1142"/>
        <v>80.349999999999994</v>
      </c>
      <c r="Q504" s="3">
        <f t="shared" si="1142"/>
        <v>6859.610000000006</v>
      </c>
      <c r="R504" s="3"/>
      <c r="S504" s="3">
        <f>SUM(S295:S503)</f>
        <v>5286.279999999987</v>
      </c>
      <c r="T504" s="3">
        <f>SUM(T295:T503)</f>
        <v>337.86999999999978</v>
      </c>
      <c r="U504" s="3"/>
      <c r="V504" s="3"/>
      <c r="W504" s="3"/>
      <c r="X504" s="3">
        <f>SUM(X295:X503)</f>
        <v>5485.02</v>
      </c>
      <c r="Y504" s="3">
        <f>SUM(Y295:Y503)</f>
        <v>1374.5899999999992</v>
      </c>
      <c r="Z504" s="3">
        <f>SUM(Z295:Z503)</f>
        <v>1380.5500000000002</v>
      </c>
      <c r="AA504" s="2"/>
      <c r="AB504" s="2"/>
      <c r="AC504" s="3"/>
      <c r="AD504" s="2"/>
      <c r="AE504" s="2"/>
      <c r="AF504" s="2"/>
      <c r="AG504" s="2"/>
      <c r="AH504" s="2"/>
      <c r="AI504" s="2"/>
      <c r="AJ504" s="2"/>
      <c r="AK504" s="2"/>
      <c r="AL504" s="2"/>
      <c r="AM504" s="5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</row>
    <row r="505" spans="3:58" ht="17.25" customHeight="1">
      <c r="C505" s="1"/>
      <c r="E505" s="2"/>
      <c r="F505" s="15"/>
      <c r="G505" s="2"/>
      <c r="H505" s="2"/>
      <c r="I505" s="2"/>
      <c r="J505" s="2"/>
      <c r="K505" s="2"/>
      <c r="L505" s="3"/>
      <c r="M505" s="3"/>
      <c r="N505" s="3"/>
      <c r="O505" s="3"/>
      <c r="P505" s="3"/>
      <c r="Q505" s="6"/>
      <c r="R505" s="3"/>
      <c r="S505" s="3"/>
      <c r="T505" s="3"/>
      <c r="U505" s="3"/>
      <c r="V505" s="3"/>
      <c r="W505" s="3"/>
      <c r="X505" s="2"/>
      <c r="Y505" s="6">
        <v>1380</v>
      </c>
      <c r="Z505" s="2"/>
      <c r="AA505" s="2"/>
      <c r="AB505" s="2"/>
      <c r="AC505" s="3"/>
      <c r="AD505" s="2"/>
      <c r="AE505" s="2"/>
      <c r="AF505" s="2"/>
      <c r="AG505" s="2"/>
      <c r="AH505" s="2"/>
      <c r="AI505" s="2"/>
      <c r="AJ505" s="2"/>
      <c r="AK505" s="2"/>
      <c r="AL505" s="2"/>
      <c r="AM505" s="5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</row>
    <row r="506" spans="3:58" ht="17.25" customHeight="1">
      <c r="C506" s="1">
        <v>43982</v>
      </c>
      <c r="E506" s="2" t="s">
        <v>4505</v>
      </c>
      <c r="F506" s="15"/>
      <c r="G506" s="2" t="s">
        <v>5298</v>
      </c>
      <c r="H506" s="2" t="s">
        <v>5297</v>
      </c>
      <c r="I506" s="2"/>
      <c r="J506" s="2">
        <v>1</v>
      </c>
      <c r="K506" s="2"/>
      <c r="L506" s="3">
        <v>35.85</v>
      </c>
      <c r="M506" s="3">
        <v>3.58</v>
      </c>
      <c r="N506" s="3">
        <v>1.99</v>
      </c>
      <c r="O506" s="3"/>
      <c r="P506" s="3">
        <f>2.51-2.51</f>
        <v>0</v>
      </c>
      <c r="Q506" s="6">
        <f t="shared" ref="Q506" si="1143">+L506-M506-N506+P506</f>
        <v>30.280000000000005</v>
      </c>
      <c r="R506" s="3"/>
      <c r="S506" s="3">
        <v>18.989999999999998</v>
      </c>
      <c r="T506" s="3">
        <v>1.33</v>
      </c>
      <c r="U506" s="3"/>
      <c r="V506" s="3"/>
      <c r="W506" s="3"/>
      <c r="X506" s="2">
        <f t="shared" ref="X506" si="1144">+S506+T506++U506+V506-W506</f>
        <v>20.32</v>
      </c>
      <c r="Y506" s="6">
        <f t="shared" ref="Y506" si="1145">+Q506-X506</f>
        <v>9.9600000000000044</v>
      </c>
      <c r="Z506" s="2"/>
      <c r="AA506" s="2"/>
      <c r="AB506" s="2"/>
      <c r="AC506" s="3"/>
      <c r="AD506" s="2"/>
      <c r="AE506" s="2"/>
      <c r="AF506" s="2"/>
      <c r="AG506" s="2"/>
      <c r="AH506" s="2" t="s">
        <v>5300</v>
      </c>
      <c r="AI506" s="2" t="s">
        <v>5299</v>
      </c>
      <c r="AJ506" s="2"/>
      <c r="AK506" s="2"/>
      <c r="AL506" s="2" t="s">
        <v>5608</v>
      </c>
      <c r="AM506" s="16" t="s">
        <v>5607</v>
      </c>
      <c r="AN506" s="2"/>
      <c r="AO506" s="2" t="s">
        <v>5494</v>
      </c>
      <c r="AP506" s="2" t="s">
        <v>591</v>
      </c>
      <c r="AQ506" s="2"/>
      <c r="AR506" s="16" t="s">
        <v>5495</v>
      </c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</row>
    <row r="507" spans="3:58" ht="17.25" customHeight="1">
      <c r="C507" s="1">
        <v>43982</v>
      </c>
      <c r="E507" s="2" t="s">
        <v>5254</v>
      </c>
      <c r="F507" s="15"/>
      <c r="G507" s="2" t="s">
        <v>5301</v>
      </c>
      <c r="H507" s="2" t="s">
        <v>5368</v>
      </c>
      <c r="I507" s="2"/>
      <c r="J507" s="2">
        <v>0</v>
      </c>
      <c r="K507" s="2"/>
      <c r="L507" s="3">
        <v>0</v>
      </c>
      <c r="M507" s="3">
        <v>0</v>
      </c>
      <c r="N507" s="3">
        <v>0</v>
      </c>
      <c r="O507" s="3"/>
      <c r="P507" s="3">
        <v>0</v>
      </c>
      <c r="Q507" s="6">
        <f t="shared" ref="Q507" si="1146">+L507-M507-N507+P507</f>
        <v>0</v>
      </c>
      <c r="R507" s="3"/>
      <c r="S507" s="3">
        <v>0</v>
      </c>
      <c r="T507" s="3">
        <v>0</v>
      </c>
      <c r="U507" s="3">
        <v>0</v>
      </c>
      <c r="V507" s="3"/>
      <c r="W507" s="3"/>
      <c r="X507" s="2">
        <f t="shared" ref="X507" si="1147">+S507+T507++U507+V507-W507</f>
        <v>0</v>
      </c>
      <c r="Y507" s="6">
        <f t="shared" ref="Y507" si="1148">+Q507-X507</f>
        <v>0</v>
      </c>
      <c r="Z507" s="2"/>
      <c r="AA507" s="2"/>
      <c r="AB507" s="2"/>
      <c r="AC507" s="3"/>
      <c r="AD507" s="2"/>
      <c r="AE507" s="2"/>
      <c r="AF507" s="2"/>
      <c r="AG507" s="2"/>
      <c r="AH507" s="2" t="s">
        <v>5330</v>
      </c>
      <c r="AI507" s="2" t="s">
        <v>5329</v>
      </c>
      <c r="AJ507" s="2"/>
      <c r="AK507" s="2"/>
      <c r="AL507" s="2"/>
      <c r="AM507" s="5" t="s">
        <v>3904</v>
      </c>
      <c r="AN507" s="2"/>
      <c r="AO507" s="5" t="s">
        <v>3904</v>
      </c>
      <c r="AP507" s="2"/>
      <c r="AQ507" s="2"/>
      <c r="AR507" s="2"/>
      <c r="AS507" s="2"/>
      <c r="AT507" s="2"/>
      <c r="AU507" s="2" t="s">
        <v>5358</v>
      </c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</row>
    <row r="508" spans="3:58" ht="17.25" customHeight="1">
      <c r="C508" s="1">
        <v>43982</v>
      </c>
      <c r="E508" s="2" t="s">
        <v>5276</v>
      </c>
      <c r="F508" s="15"/>
      <c r="G508" s="2" t="s">
        <v>5278</v>
      </c>
      <c r="H508" s="2" t="s">
        <v>5277</v>
      </c>
      <c r="I508" s="2"/>
      <c r="J508" s="2">
        <v>1</v>
      </c>
      <c r="K508" s="2"/>
      <c r="L508" s="3">
        <v>83.5</v>
      </c>
      <c r="M508" s="3">
        <v>8.35</v>
      </c>
      <c r="N508" s="3">
        <v>4.34</v>
      </c>
      <c r="O508" s="3">
        <v>0</v>
      </c>
      <c r="P508" s="3">
        <f>8.28-8.28</f>
        <v>0</v>
      </c>
      <c r="Q508" s="6">
        <f t="shared" ref="Q508:Q509" si="1149">+L508-M508-N508+P508</f>
        <v>70.81</v>
      </c>
      <c r="R508" s="3"/>
      <c r="S508" s="3">
        <v>65.19</v>
      </c>
      <c r="T508" s="3">
        <v>6.46</v>
      </c>
      <c r="U508" s="3"/>
      <c r="V508" s="3"/>
      <c r="W508" s="3">
        <f>6.51+0.64</f>
        <v>7.1499999999999995</v>
      </c>
      <c r="X508" s="2">
        <f t="shared" ref="X508:X509" si="1150">+S508+T508++U508+V508-W508</f>
        <v>64.499999999999986</v>
      </c>
      <c r="Y508" s="6">
        <f t="shared" ref="Y508:Y509" si="1151">+Q508-X508</f>
        <v>6.3100000000000165</v>
      </c>
      <c r="Z508" s="2"/>
      <c r="AA508" s="2"/>
      <c r="AB508" s="2"/>
      <c r="AC508" s="3"/>
      <c r="AD508" s="2"/>
      <c r="AE508" s="2"/>
      <c r="AF508" s="2"/>
      <c r="AG508" s="2"/>
      <c r="AH508" s="2" t="s">
        <v>5280</v>
      </c>
      <c r="AI508" s="2" t="s">
        <v>5279</v>
      </c>
      <c r="AJ508" s="2"/>
      <c r="AK508" s="2"/>
      <c r="AL508" s="2" t="s">
        <v>5555</v>
      </c>
      <c r="AM508" s="16" t="s">
        <v>5554</v>
      </c>
      <c r="AN508" s="2"/>
      <c r="AO508" s="2" t="s">
        <v>5526</v>
      </c>
      <c r="AP508" s="2" t="s">
        <v>4966</v>
      </c>
      <c r="AQ508" s="2"/>
      <c r="AR508" s="16" t="s">
        <v>5523</v>
      </c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</row>
    <row r="509" spans="3:58" ht="17.25" customHeight="1">
      <c r="C509" s="1">
        <v>43982</v>
      </c>
      <c r="E509" s="2" t="s">
        <v>5254</v>
      </c>
      <c r="F509" s="15"/>
      <c r="G509" s="2" t="s">
        <v>5278</v>
      </c>
      <c r="H509" s="2" t="s">
        <v>5385</v>
      </c>
      <c r="I509" s="2"/>
      <c r="J509" s="2">
        <v>1</v>
      </c>
      <c r="K509" s="2"/>
      <c r="L509" s="3">
        <v>0</v>
      </c>
      <c r="M509" s="3">
        <v>0</v>
      </c>
      <c r="N509" s="3">
        <v>0</v>
      </c>
      <c r="O509" s="3"/>
      <c r="P509" s="3">
        <v>0</v>
      </c>
      <c r="Q509" s="6">
        <f t="shared" si="1149"/>
        <v>0</v>
      </c>
      <c r="R509" s="3"/>
      <c r="S509" s="3">
        <v>0</v>
      </c>
      <c r="T509" s="3">
        <v>0</v>
      </c>
      <c r="U509" s="3">
        <v>0</v>
      </c>
      <c r="V509" s="3"/>
      <c r="W509" s="3"/>
      <c r="X509" s="2">
        <f t="shared" si="1150"/>
        <v>0</v>
      </c>
      <c r="Y509" s="6">
        <f t="shared" si="1151"/>
        <v>0</v>
      </c>
      <c r="Z509" s="2"/>
      <c r="AA509" s="2"/>
      <c r="AB509" s="2"/>
      <c r="AC509" s="3"/>
      <c r="AD509" s="2"/>
      <c r="AE509" s="2"/>
      <c r="AF509" s="2"/>
      <c r="AG509" s="2"/>
      <c r="AH509" s="2" t="s">
        <v>5284</v>
      </c>
      <c r="AI509" s="2" t="s">
        <v>5283</v>
      </c>
      <c r="AJ509" s="2"/>
      <c r="AK509" s="2"/>
      <c r="AL509" s="2"/>
      <c r="AM509" s="5" t="s">
        <v>5422</v>
      </c>
      <c r="AN509" s="2"/>
      <c r="AO509" s="5" t="s">
        <v>5422</v>
      </c>
      <c r="AP509" s="2"/>
      <c r="AQ509" s="2"/>
      <c r="AR509" s="2"/>
      <c r="AS509" s="2"/>
      <c r="AT509" s="2"/>
      <c r="AU509" s="2" t="s">
        <v>5371</v>
      </c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</row>
    <row r="510" spans="3:58" ht="17.25" customHeight="1">
      <c r="C510" s="1">
        <v>43982</v>
      </c>
      <c r="E510" s="2" t="s">
        <v>2685</v>
      </c>
      <c r="F510" s="15"/>
      <c r="G510" s="2" t="s">
        <v>5525</v>
      </c>
      <c r="H510" s="2" t="s">
        <v>5524</v>
      </c>
      <c r="I510" s="2"/>
      <c r="J510" s="2">
        <v>1</v>
      </c>
      <c r="K510" s="2"/>
      <c r="L510" s="3">
        <v>83.5</v>
      </c>
      <c r="M510" s="3">
        <v>8.35</v>
      </c>
      <c r="N510" s="3">
        <v>4.2300000000000004</v>
      </c>
      <c r="O510" s="3">
        <v>0</v>
      </c>
      <c r="P510" s="3">
        <f>5.85-5.85</f>
        <v>0</v>
      </c>
      <c r="Q510" s="6">
        <f t="shared" ref="Q510" si="1152">+L510-M510-N510+P510</f>
        <v>70.92</v>
      </c>
      <c r="R510" s="3"/>
      <c r="S510" s="3">
        <v>65.19</v>
      </c>
      <c r="T510" s="3">
        <v>4.5599999999999996</v>
      </c>
      <c r="U510" s="3"/>
      <c r="V510" s="3"/>
      <c r="W510" s="3">
        <f>6.51+0.45</f>
        <v>6.96</v>
      </c>
      <c r="X510" s="2">
        <f t="shared" ref="X510" si="1153">+S510+T510++U510+V510-W510</f>
        <v>62.79</v>
      </c>
      <c r="Y510" s="6">
        <f t="shared" ref="Y510" si="1154">+Q510-X510</f>
        <v>8.1300000000000026</v>
      </c>
      <c r="Z510" s="2"/>
      <c r="AA510" s="2"/>
      <c r="AB510" s="2"/>
      <c r="AC510" s="3"/>
      <c r="AD510" s="2"/>
      <c r="AE510" s="2"/>
      <c r="AF510" s="2"/>
      <c r="AG510" s="2"/>
      <c r="AH510" s="2" t="s">
        <v>5282</v>
      </c>
      <c r="AI510" s="2" t="s">
        <v>5281</v>
      </c>
      <c r="AJ510" s="2"/>
      <c r="AK510" s="2"/>
      <c r="AL510" s="2" t="s">
        <v>2926</v>
      </c>
      <c r="AM510" s="16" t="s">
        <v>5553</v>
      </c>
      <c r="AN510" s="2"/>
      <c r="AO510" s="2" t="s">
        <v>5522</v>
      </c>
      <c r="AP510" s="2" t="s">
        <v>4966</v>
      </c>
      <c r="AQ510" s="2"/>
      <c r="AR510" s="16" t="s">
        <v>5523</v>
      </c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</row>
    <row r="511" spans="3:58" ht="17.25" customHeight="1">
      <c r="C511" s="1">
        <v>43982</v>
      </c>
      <c r="E511" s="2" t="s">
        <v>5265</v>
      </c>
      <c r="F511" s="15"/>
      <c r="G511" s="2" t="s">
        <v>5271</v>
      </c>
      <c r="H511" s="2" t="s">
        <v>5270</v>
      </c>
      <c r="I511" s="2"/>
      <c r="J511" s="2">
        <v>2</v>
      </c>
      <c r="K511" s="2"/>
      <c r="L511" s="3">
        <v>59</v>
      </c>
      <c r="M511" s="3">
        <v>5.9</v>
      </c>
      <c r="N511" s="3">
        <v>2.9</v>
      </c>
      <c r="O511" s="3"/>
      <c r="P511" s="3">
        <v>0</v>
      </c>
      <c r="Q511" s="6">
        <f t="shared" ref="Q511" si="1155">+L511-M511-N511+P511</f>
        <v>50.2</v>
      </c>
      <c r="R511" s="3"/>
      <c r="S511" s="3">
        <v>29.96</v>
      </c>
      <c r="T511" s="3">
        <v>0</v>
      </c>
      <c r="U511" s="3"/>
      <c r="V511" s="3"/>
      <c r="W511" s="3"/>
      <c r="X511" s="2">
        <f t="shared" ref="X511" si="1156">+S511+T511++U511+V511-W511</f>
        <v>29.96</v>
      </c>
      <c r="Y511" s="6">
        <f t="shared" ref="Y511" si="1157">+Q511-X511</f>
        <v>20.240000000000002</v>
      </c>
      <c r="Z511" s="2"/>
      <c r="AA511" s="2"/>
      <c r="AB511" s="2"/>
      <c r="AC511" s="3"/>
      <c r="AD511" s="2"/>
      <c r="AE511" s="2"/>
      <c r="AF511" s="2"/>
      <c r="AG511" s="2"/>
      <c r="AH511" s="2" t="s">
        <v>5273</v>
      </c>
      <c r="AI511" s="2" t="s">
        <v>5272</v>
      </c>
      <c r="AJ511" s="2"/>
      <c r="AK511" s="2"/>
      <c r="AL511" s="2" t="s">
        <v>152</v>
      </c>
      <c r="AM511" s="2" t="s">
        <v>5790</v>
      </c>
      <c r="AN511" s="2"/>
      <c r="AO511" s="2" t="s">
        <v>5559</v>
      </c>
      <c r="AP511" s="2" t="s">
        <v>5561</v>
      </c>
      <c r="AQ511" s="2"/>
      <c r="AR511" s="29" t="s">
        <v>5560</v>
      </c>
      <c r="AS511" s="2" t="s">
        <v>6472</v>
      </c>
      <c r="AT511" s="2"/>
      <c r="AU511" s="2" t="s">
        <v>5532</v>
      </c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</row>
    <row r="512" spans="3:58" ht="17.25" customHeight="1">
      <c r="C512" s="1">
        <v>43982</v>
      </c>
      <c r="E512" s="2" t="s">
        <v>3290</v>
      </c>
      <c r="F512" s="15"/>
      <c r="G512" s="2" t="s">
        <v>5267</v>
      </c>
      <c r="H512" s="2" t="s">
        <v>5266</v>
      </c>
      <c r="I512" s="2"/>
      <c r="J512" s="2">
        <v>1</v>
      </c>
      <c r="K512" s="2"/>
      <c r="L512" s="3">
        <v>37.15</v>
      </c>
      <c r="M512" s="3">
        <v>3.71</v>
      </c>
      <c r="N512" s="3">
        <v>2.08</v>
      </c>
      <c r="O512" s="3"/>
      <c r="P512" s="3">
        <f>3.3-3.3</f>
        <v>0</v>
      </c>
      <c r="Q512" s="6">
        <f t="shared" ref="Q512" si="1158">+L512-M512-N512+P512</f>
        <v>31.36</v>
      </c>
      <c r="R512" s="3"/>
      <c r="S512" s="3">
        <v>23.99</v>
      </c>
      <c r="T512" s="3">
        <v>2.13</v>
      </c>
      <c r="U512" s="3">
        <v>0</v>
      </c>
      <c r="V512" s="3"/>
      <c r="W512" s="3">
        <v>0</v>
      </c>
      <c r="X512" s="2">
        <f t="shared" ref="X512" si="1159">+S512+T512++U512+V512-W512</f>
        <v>26.119999999999997</v>
      </c>
      <c r="Y512" s="6">
        <f t="shared" ref="Y512" si="1160">+Q512-X512</f>
        <v>5.240000000000002</v>
      </c>
      <c r="Z512" s="2"/>
      <c r="AA512" s="2"/>
      <c r="AB512" s="2"/>
      <c r="AC512" s="3"/>
      <c r="AD512" s="2"/>
      <c r="AE512" s="2"/>
      <c r="AF512" s="2"/>
      <c r="AG512" s="2"/>
      <c r="AH512" s="2" t="s">
        <v>5269</v>
      </c>
      <c r="AI512" s="2" t="s">
        <v>5268</v>
      </c>
      <c r="AJ512" s="2"/>
      <c r="AK512" s="2"/>
      <c r="AL512" s="2" t="s">
        <v>5448</v>
      </c>
      <c r="AM512" s="16" t="s">
        <v>5609</v>
      </c>
      <c r="AN512" s="2"/>
      <c r="AO512" s="2" t="s">
        <v>5513</v>
      </c>
      <c r="AP512" s="2" t="s">
        <v>3685</v>
      </c>
      <c r="AQ512" s="2"/>
      <c r="AR512" s="16" t="s">
        <v>5514</v>
      </c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</row>
    <row r="513" spans="3:58" ht="17.25" customHeight="1">
      <c r="C513" s="1">
        <v>43982</v>
      </c>
      <c r="E513" s="2" t="s">
        <v>4764</v>
      </c>
      <c r="F513" s="15"/>
      <c r="G513" s="2" t="s">
        <v>5262</v>
      </c>
      <c r="H513" s="2" t="s">
        <v>5261</v>
      </c>
      <c r="I513" s="2"/>
      <c r="J513" s="2">
        <v>1</v>
      </c>
      <c r="K513" s="2"/>
      <c r="L513" s="3">
        <v>23.35</v>
      </c>
      <c r="M513" s="3">
        <v>2.33</v>
      </c>
      <c r="N513" s="3">
        <v>1.38</v>
      </c>
      <c r="O513" s="3"/>
      <c r="P513" s="3">
        <f>1.28-1.28</f>
        <v>0</v>
      </c>
      <c r="Q513" s="6">
        <f t="shared" ref="Q513" si="1161">+L513-M513-N513+P513</f>
        <v>19.640000000000004</v>
      </c>
      <c r="R513" s="3"/>
      <c r="S513" s="3">
        <v>11.95</v>
      </c>
      <c r="T513" s="3">
        <v>0.65</v>
      </c>
      <c r="U513" s="3"/>
      <c r="V513" s="3"/>
      <c r="W513" s="3"/>
      <c r="X513" s="3">
        <f t="shared" ref="X513" si="1162">+S513+T513++U513+V513-W513</f>
        <v>12.6</v>
      </c>
      <c r="Y513" s="6">
        <f t="shared" ref="Y513" si="1163">+Q513-X513</f>
        <v>7.0400000000000045</v>
      </c>
      <c r="Z513" s="2"/>
      <c r="AA513" s="2"/>
      <c r="AB513" s="2"/>
      <c r="AC513" s="3"/>
      <c r="AD513" s="2"/>
      <c r="AE513" s="2"/>
      <c r="AF513" s="2"/>
      <c r="AG513" s="2"/>
      <c r="AH513" s="2" t="s">
        <v>5264</v>
      </c>
      <c r="AI513" s="2" t="s">
        <v>5263</v>
      </c>
      <c r="AJ513" s="2"/>
      <c r="AK513" s="2"/>
      <c r="AL513" s="2" t="s">
        <v>5012</v>
      </c>
      <c r="AM513" s="2" t="s">
        <v>5982</v>
      </c>
      <c r="AN513" s="2"/>
      <c r="AO513" s="2" t="s">
        <v>5413</v>
      </c>
      <c r="AP513" s="2" t="s">
        <v>5415</v>
      </c>
      <c r="AQ513" s="2"/>
      <c r="AR513" s="5" t="s">
        <v>5414</v>
      </c>
      <c r="AS513" s="2"/>
      <c r="AT513" s="2"/>
      <c r="AU513" s="5" t="s">
        <v>6279</v>
      </c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</row>
    <row r="514" spans="3:58" ht="17.25" customHeight="1">
      <c r="C514" s="1">
        <v>43982</v>
      </c>
      <c r="E514" s="2" t="s">
        <v>5254</v>
      </c>
      <c r="F514" s="15"/>
      <c r="G514" s="2" t="s">
        <v>5258</v>
      </c>
      <c r="H514" s="2" t="s">
        <v>5292</v>
      </c>
      <c r="I514" s="2"/>
      <c r="J514" s="2">
        <v>1</v>
      </c>
      <c r="K514" s="2"/>
      <c r="L514" s="3">
        <v>0</v>
      </c>
      <c r="M514" s="3">
        <v>0</v>
      </c>
      <c r="N514" s="3">
        <v>0</v>
      </c>
      <c r="O514" s="3"/>
      <c r="P514" s="3">
        <v>0</v>
      </c>
      <c r="Q514" s="6">
        <f t="shared" ref="Q514" si="1164">+L514-M514-N514+P514</f>
        <v>0</v>
      </c>
      <c r="R514" s="3"/>
      <c r="S514" s="3">
        <v>0</v>
      </c>
      <c r="T514" s="3">
        <v>0</v>
      </c>
      <c r="U514" s="3">
        <v>0</v>
      </c>
      <c r="V514" s="3"/>
      <c r="W514" s="3"/>
      <c r="X514" s="2">
        <f t="shared" ref="X514" si="1165">+S514+T514++U514+V514-W514</f>
        <v>0</v>
      </c>
      <c r="Y514" s="6">
        <f t="shared" ref="Y514" si="1166">+Q514-X514</f>
        <v>0</v>
      </c>
      <c r="Z514" s="6">
        <f>SUM(Y506:Y514)</f>
        <v>56.920000000000037</v>
      </c>
      <c r="AA514" s="2"/>
      <c r="AB514" s="2"/>
      <c r="AC514" s="3"/>
      <c r="AD514" s="2"/>
      <c r="AE514" s="2"/>
      <c r="AF514" s="2"/>
      <c r="AG514" s="2"/>
      <c r="AH514" s="2" t="s">
        <v>5260</v>
      </c>
      <c r="AI514" s="2" t="s">
        <v>5259</v>
      </c>
      <c r="AJ514" s="2"/>
      <c r="AK514" s="2"/>
      <c r="AL514" s="2"/>
      <c r="AM514" s="5" t="s">
        <v>5198</v>
      </c>
      <c r="AN514" s="2"/>
      <c r="AO514" s="5" t="s">
        <v>5198</v>
      </c>
      <c r="AP514" s="2"/>
      <c r="AQ514" s="2"/>
      <c r="AR514" s="2"/>
      <c r="AS514" s="2"/>
      <c r="AT514" s="2"/>
      <c r="AU514" s="2" t="s">
        <v>5293</v>
      </c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</row>
    <row r="515" spans="3:58" ht="17.25" customHeight="1">
      <c r="C515" s="1">
        <v>43981</v>
      </c>
      <c r="E515" s="2" t="s">
        <v>4038</v>
      </c>
      <c r="F515" s="15"/>
      <c r="G515" s="2" t="s">
        <v>5255</v>
      </c>
      <c r="H515" s="2" t="s">
        <v>5428</v>
      </c>
      <c r="I515" s="2"/>
      <c r="J515" s="2">
        <v>2</v>
      </c>
      <c r="K515" s="2"/>
      <c r="L515" s="3">
        <v>59</v>
      </c>
      <c r="M515" s="3">
        <v>5.9</v>
      </c>
      <c r="N515" s="3">
        <v>3.12</v>
      </c>
      <c r="O515" s="3"/>
      <c r="P515" s="3">
        <f>5.09-5.09</f>
        <v>0</v>
      </c>
      <c r="Q515" s="6">
        <f t="shared" ref="Q515" si="1167">+L515-M515-N515+P515</f>
        <v>49.980000000000004</v>
      </c>
      <c r="R515" s="3"/>
      <c r="S515" s="3">
        <v>29.96</v>
      </c>
      <c r="T515" s="3">
        <v>2.58</v>
      </c>
      <c r="U515" s="3"/>
      <c r="V515" s="3"/>
      <c r="W515" s="3"/>
      <c r="X515" s="2">
        <f t="shared" ref="X515:X516" si="1168">+S515+T515++U515+V515-W515</f>
        <v>32.54</v>
      </c>
      <c r="Y515" s="6">
        <f t="shared" ref="Y515" si="1169">+Q515-X515</f>
        <v>17.440000000000005</v>
      </c>
      <c r="Z515" s="2"/>
      <c r="AA515" s="2"/>
      <c r="AB515" s="2"/>
      <c r="AC515" s="3"/>
      <c r="AD515" s="2"/>
      <c r="AE515" s="2"/>
      <c r="AF515" s="2"/>
      <c r="AG515" s="2"/>
      <c r="AH515" s="2" t="s">
        <v>5257</v>
      </c>
      <c r="AI515" s="2" t="s">
        <v>5256</v>
      </c>
      <c r="AJ515" s="2"/>
      <c r="AK515" s="2"/>
      <c r="AL515" s="2" t="s">
        <v>5448</v>
      </c>
      <c r="AM515" s="2" t="s">
        <v>5517</v>
      </c>
      <c r="AN515" s="2"/>
      <c r="AO515" s="2" t="s">
        <v>5429</v>
      </c>
      <c r="AP515" s="2" t="s">
        <v>5430</v>
      </c>
      <c r="AQ515" s="2"/>
      <c r="AR515" s="16" t="s">
        <v>5431</v>
      </c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</row>
    <row r="516" spans="3:58" ht="17.25" customHeight="1">
      <c r="C516" s="1">
        <v>43981</v>
      </c>
      <c r="E516" s="2" t="s">
        <v>1305</v>
      </c>
      <c r="F516" s="15"/>
      <c r="G516" s="2" t="s">
        <v>5249</v>
      </c>
      <c r="H516" s="2" t="s">
        <v>5248</v>
      </c>
      <c r="I516" s="2"/>
      <c r="J516" s="2">
        <v>1</v>
      </c>
      <c r="K516" s="2"/>
      <c r="L516" s="3">
        <v>28.95</v>
      </c>
      <c r="M516" s="3">
        <v>2.89</v>
      </c>
      <c r="N516" s="3">
        <v>1.69</v>
      </c>
      <c r="O516" s="3"/>
      <c r="P516" s="3">
        <f>2.53-2.53</f>
        <v>0</v>
      </c>
      <c r="Q516" s="6">
        <f t="shared" ref="Q516" si="1170">+L516-M516-N516+P516</f>
        <v>24.369999999999997</v>
      </c>
      <c r="R516" s="3"/>
      <c r="S516" s="3">
        <v>18.149999999999999</v>
      </c>
      <c r="T516" s="3">
        <v>1.41</v>
      </c>
      <c r="U516" s="3"/>
      <c r="V516" s="3"/>
      <c r="W516" s="3"/>
      <c r="X516" s="2">
        <f t="shared" si="1168"/>
        <v>19.559999999999999</v>
      </c>
      <c r="Y516" s="6">
        <f t="shared" ref="Y516" si="1171">+Q516-X516</f>
        <v>4.8099999999999987</v>
      </c>
      <c r="Z516" s="2"/>
      <c r="AA516" s="2"/>
      <c r="AB516" s="2"/>
      <c r="AC516" s="3"/>
      <c r="AD516" s="2"/>
      <c r="AE516" s="2"/>
      <c r="AF516" s="2"/>
      <c r="AG516" s="2"/>
      <c r="AH516" s="2" t="s">
        <v>5251</v>
      </c>
      <c r="AI516" s="2" t="s">
        <v>5250</v>
      </c>
      <c r="AJ516" s="2"/>
      <c r="AK516" s="2"/>
      <c r="AL516" s="2" t="s">
        <v>4554</v>
      </c>
      <c r="AM516" s="16" t="s">
        <v>5339</v>
      </c>
      <c r="AN516" s="2"/>
      <c r="AO516" s="2" t="s">
        <v>5252</v>
      </c>
      <c r="AP516" s="2" t="s">
        <v>4401</v>
      </c>
      <c r="AQ516" s="2"/>
      <c r="AR516" s="16" t="s">
        <v>5253</v>
      </c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</row>
    <row r="517" spans="3:58" ht="17.25" customHeight="1">
      <c r="C517" s="1">
        <v>43981</v>
      </c>
      <c r="E517" s="2" t="s">
        <v>5234</v>
      </c>
      <c r="F517" s="15"/>
      <c r="G517" s="2" t="s">
        <v>5236</v>
      </c>
      <c r="H517" s="2" t="s">
        <v>5235</v>
      </c>
      <c r="I517" s="2"/>
      <c r="J517" s="2">
        <v>1</v>
      </c>
      <c r="K517" s="2"/>
      <c r="L517" s="3">
        <v>29.95</v>
      </c>
      <c r="M517" s="3">
        <v>2.99</v>
      </c>
      <c r="N517" s="3">
        <v>1.62</v>
      </c>
      <c r="O517" s="3"/>
      <c r="P517" s="3"/>
      <c r="Q517" s="6">
        <f t="shared" ref="Q517:Q519" si="1172">+L517-M517-N517+P517</f>
        <v>25.34</v>
      </c>
      <c r="R517" s="3"/>
      <c r="S517" s="3">
        <v>19.95</v>
      </c>
      <c r="T517" s="3"/>
      <c r="U517" s="3"/>
      <c r="V517" s="3"/>
      <c r="W517" s="3"/>
      <c r="X517" s="3">
        <f t="shared" ref="X517:X518" si="1173">+S517+T517++U517+V517-W517</f>
        <v>19.95</v>
      </c>
      <c r="Y517" s="6">
        <f t="shared" ref="Y517:Y518" si="1174">+Q517-X517</f>
        <v>5.3900000000000006</v>
      </c>
      <c r="Z517" s="2"/>
      <c r="AA517" s="2"/>
      <c r="AB517" s="2"/>
      <c r="AC517" s="3"/>
      <c r="AD517" s="2"/>
      <c r="AE517" s="2"/>
      <c r="AF517" s="2"/>
      <c r="AG517" s="2"/>
      <c r="AH517" s="2" t="s">
        <v>5238</v>
      </c>
      <c r="AI517" s="2" t="s">
        <v>5237</v>
      </c>
      <c r="AJ517" s="2"/>
      <c r="AK517" s="2"/>
      <c r="AL517" s="2" t="s">
        <v>5426</v>
      </c>
      <c r="AM517" s="2" t="s">
        <v>5855</v>
      </c>
      <c r="AN517" s="2"/>
      <c r="AO517" s="2" t="s">
        <v>5321</v>
      </c>
      <c r="AP517" s="2" t="s">
        <v>5322</v>
      </c>
      <c r="AQ517" s="2"/>
      <c r="AR517" s="16" t="s">
        <v>5320</v>
      </c>
      <c r="AS517" s="2" t="s">
        <v>5967</v>
      </c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</row>
    <row r="518" spans="3:58" ht="17.25" customHeight="1">
      <c r="C518" s="1">
        <v>43981</v>
      </c>
      <c r="E518" s="2" t="s">
        <v>4764</v>
      </c>
      <c r="F518" s="15"/>
      <c r="G518" s="2" t="s">
        <v>5240</v>
      </c>
      <c r="H518" s="2" t="s">
        <v>5239</v>
      </c>
      <c r="I518" s="2"/>
      <c r="J518" s="2">
        <v>1</v>
      </c>
      <c r="K518" s="2"/>
      <c r="L518" s="3">
        <v>23.35</v>
      </c>
      <c r="M518" s="3">
        <v>2.33</v>
      </c>
      <c r="N518" s="3">
        <v>1.43</v>
      </c>
      <c r="O518" s="3"/>
      <c r="P518" s="3">
        <v>2.34</v>
      </c>
      <c r="Q518" s="6">
        <f t="shared" ref="Q518" si="1175">+L518-M518-N518+P518</f>
        <v>21.930000000000003</v>
      </c>
      <c r="R518" s="3"/>
      <c r="S518" s="3">
        <v>11.95</v>
      </c>
      <c r="T518" s="3">
        <v>1.1000000000000001</v>
      </c>
      <c r="U518" s="3"/>
      <c r="V518" s="3"/>
      <c r="W518" s="3"/>
      <c r="X518" s="3">
        <f t="shared" si="1173"/>
        <v>13.049999999999999</v>
      </c>
      <c r="Y518" s="6">
        <f t="shared" si="1174"/>
        <v>8.8800000000000043</v>
      </c>
      <c r="Z518" s="2"/>
      <c r="AA518" s="2"/>
      <c r="AB518" s="2"/>
      <c r="AC518" s="3"/>
      <c r="AD518" s="2"/>
      <c r="AE518" s="2"/>
      <c r="AF518" s="2"/>
      <c r="AG518" s="2"/>
      <c r="AH518" s="2" t="s">
        <v>5242</v>
      </c>
      <c r="AI518" s="2" t="s">
        <v>5241</v>
      </c>
      <c r="AJ518" s="2"/>
      <c r="AK518" s="2"/>
      <c r="AL518" s="2" t="s">
        <v>4571</v>
      </c>
      <c r="AM518" s="16" t="s">
        <v>5338</v>
      </c>
      <c r="AN518" s="2"/>
      <c r="AO518" s="2" t="s">
        <v>5289</v>
      </c>
      <c r="AP518" s="2" t="s">
        <v>4932</v>
      </c>
      <c r="AQ518" s="2"/>
      <c r="AR518" s="16" t="s">
        <v>4931</v>
      </c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</row>
    <row r="519" spans="3:58" ht="17.25" customHeight="1">
      <c r="C519" s="1">
        <v>43981</v>
      </c>
      <c r="E519" s="2" t="s">
        <v>4764</v>
      </c>
      <c r="F519" s="15"/>
      <c r="G519" s="2" t="s">
        <v>5229</v>
      </c>
      <c r="H519" s="2" t="s">
        <v>5228</v>
      </c>
      <c r="I519" s="2"/>
      <c r="J519" s="2">
        <v>1</v>
      </c>
      <c r="K519" s="2"/>
      <c r="L519" s="3">
        <v>22.95</v>
      </c>
      <c r="M519" s="3">
        <v>2.29</v>
      </c>
      <c r="N519" s="3">
        <v>1.4</v>
      </c>
      <c r="O519" s="3"/>
      <c r="P519" s="3">
        <f>1.98-1.98</f>
        <v>0</v>
      </c>
      <c r="Q519" s="6">
        <f t="shared" si="1172"/>
        <v>19.260000000000002</v>
      </c>
      <c r="R519" s="3"/>
      <c r="S519" s="3">
        <v>11.95</v>
      </c>
      <c r="T519" s="3">
        <v>1.03</v>
      </c>
      <c r="U519" s="3"/>
      <c r="V519" s="3"/>
      <c r="W519" s="3"/>
      <c r="X519" s="3">
        <f t="shared" ref="X519" si="1176">+S519+T519++U519+V519-W519</f>
        <v>12.979999999999999</v>
      </c>
      <c r="Y519" s="6">
        <f t="shared" ref="Y519" si="1177">+Q519-X519</f>
        <v>6.2800000000000029</v>
      </c>
      <c r="Z519" s="2"/>
      <c r="AA519" s="2"/>
      <c r="AB519" s="2"/>
      <c r="AC519" s="3"/>
      <c r="AD519" s="2"/>
      <c r="AE519" s="2"/>
      <c r="AF519" s="2"/>
      <c r="AG519" s="2"/>
      <c r="AH519" s="2" t="s">
        <v>5227</v>
      </c>
      <c r="AI519" s="2" t="s">
        <v>5226</v>
      </c>
      <c r="AJ519" s="2"/>
      <c r="AK519" s="2"/>
      <c r="AL519" s="2" t="s">
        <v>2926</v>
      </c>
      <c r="AM519" s="16" t="s">
        <v>5423</v>
      </c>
      <c r="AN519" s="2"/>
      <c r="AO519" s="2" t="s">
        <v>5288</v>
      </c>
      <c r="AP519" s="2" t="s">
        <v>4932</v>
      </c>
      <c r="AQ519" s="2"/>
      <c r="AR519" s="16" t="s">
        <v>5009</v>
      </c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</row>
    <row r="520" spans="3:58" ht="17.25" customHeight="1">
      <c r="C520" s="1">
        <v>43981</v>
      </c>
      <c r="E520" s="2" t="s">
        <v>5219</v>
      </c>
      <c r="F520" s="15"/>
      <c r="G520" s="2" t="s">
        <v>5218</v>
      </c>
      <c r="H520" s="2" t="s">
        <v>5217</v>
      </c>
      <c r="I520" s="2"/>
      <c r="J520" s="2">
        <v>1</v>
      </c>
      <c r="K520" s="2"/>
      <c r="L520" s="3">
        <v>56.45</v>
      </c>
      <c r="M520" s="3">
        <v>5.64</v>
      </c>
      <c r="N520" s="3">
        <v>2.96</v>
      </c>
      <c r="O520" s="3">
        <v>0</v>
      </c>
      <c r="P520" s="3">
        <v>3.95</v>
      </c>
      <c r="Q520" s="6">
        <f t="shared" ref="Q520" si="1178">+L520-M520-N520+P520</f>
        <v>51.800000000000004</v>
      </c>
      <c r="R520" s="3"/>
      <c r="S520" s="3">
        <v>39.99</v>
      </c>
      <c r="T520" s="3">
        <v>2.8</v>
      </c>
      <c r="U520" s="3"/>
      <c r="V520" s="3"/>
      <c r="W520" s="3"/>
      <c r="X520" s="2">
        <f t="shared" ref="X520" si="1179">+S520+T520++U520+V520-W520</f>
        <v>42.79</v>
      </c>
      <c r="Y520" s="6">
        <f t="shared" ref="Y520" si="1180">+Q520-X520</f>
        <v>9.0100000000000051</v>
      </c>
      <c r="Z520" s="2"/>
      <c r="AA520" s="2"/>
      <c r="AB520" s="2"/>
      <c r="AC520" s="3"/>
      <c r="AD520" s="2"/>
      <c r="AE520" s="2"/>
      <c r="AF520" s="2"/>
      <c r="AG520" s="2"/>
      <c r="AH520" s="2" t="s">
        <v>5221</v>
      </c>
      <c r="AI520" s="2" t="s">
        <v>5220</v>
      </c>
      <c r="AJ520" s="2"/>
      <c r="AK520" s="2"/>
      <c r="AL520" s="2" t="s">
        <v>2926</v>
      </c>
      <c r="AM520" s="16" t="s">
        <v>5602</v>
      </c>
      <c r="AN520" s="2"/>
      <c r="AO520" s="2" t="s">
        <v>5319</v>
      </c>
      <c r="AP520" s="2" t="s">
        <v>5138</v>
      </c>
      <c r="AQ520" s="2"/>
      <c r="AR520" s="16" t="s">
        <v>5320</v>
      </c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</row>
    <row r="521" spans="3:58" ht="17.25" customHeight="1">
      <c r="C521" s="1">
        <v>43981</v>
      </c>
      <c r="E521" s="2" t="s">
        <v>4764</v>
      </c>
      <c r="F521" s="15"/>
      <c r="G521" s="2" t="s">
        <v>5223</v>
      </c>
      <c r="H521" s="2" t="s">
        <v>5222</v>
      </c>
      <c r="I521" s="2"/>
      <c r="J521" s="2">
        <v>1</v>
      </c>
      <c r="K521" s="2"/>
      <c r="L521" s="3">
        <v>22.95</v>
      </c>
      <c r="M521" s="3">
        <v>2.29</v>
      </c>
      <c r="N521" s="3">
        <v>1.38</v>
      </c>
      <c r="O521" s="3"/>
      <c r="P521" s="3">
        <f>1.61-1.61</f>
        <v>0</v>
      </c>
      <c r="Q521" s="6">
        <f t="shared" ref="Q521" si="1181">+L521-M521-N521+P521</f>
        <v>19.28</v>
      </c>
      <c r="R521" s="3"/>
      <c r="S521" s="3">
        <v>11.95</v>
      </c>
      <c r="T521" s="3">
        <v>0.83</v>
      </c>
      <c r="U521" s="3"/>
      <c r="V521" s="3"/>
      <c r="W521" s="3"/>
      <c r="X521" s="3">
        <f t="shared" ref="X521" si="1182">+S521+T521++U521+V521-W521</f>
        <v>12.78</v>
      </c>
      <c r="Y521" s="6">
        <f t="shared" ref="Y521" si="1183">+Q521-X521</f>
        <v>6.5000000000000018</v>
      </c>
      <c r="Z521" s="2"/>
      <c r="AA521" s="2"/>
      <c r="AB521" s="2"/>
      <c r="AC521" s="3"/>
      <c r="AD521" s="2"/>
      <c r="AE521" s="2"/>
      <c r="AF521" s="2"/>
      <c r="AG521" s="2"/>
      <c r="AH521" s="2" t="s">
        <v>5225</v>
      </c>
      <c r="AI521" s="2" t="s">
        <v>5224</v>
      </c>
      <c r="AJ521" s="2"/>
      <c r="AK521" s="2"/>
      <c r="AL521" s="2" t="s">
        <v>4571</v>
      </c>
      <c r="AM521" s="16" t="s">
        <v>5314</v>
      </c>
      <c r="AN521" s="2"/>
      <c r="AO521" s="2" t="s">
        <v>5246</v>
      </c>
      <c r="AP521" s="2" t="s">
        <v>4932</v>
      </c>
      <c r="AQ521" s="2"/>
      <c r="AR521" s="16" t="s">
        <v>5247</v>
      </c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</row>
    <row r="522" spans="3:58" ht="17.25" customHeight="1">
      <c r="C522" s="1">
        <v>43981</v>
      </c>
      <c r="E522" s="2" t="s">
        <v>5194</v>
      </c>
      <c r="F522" s="15"/>
      <c r="G522" s="2" t="s">
        <v>5196</v>
      </c>
      <c r="H522" s="2" t="s">
        <v>5195</v>
      </c>
      <c r="I522" s="2"/>
      <c r="J522" s="2">
        <v>1</v>
      </c>
      <c r="K522" s="2"/>
      <c r="L522" s="3">
        <v>83.5</v>
      </c>
      <c r="M522" s="3">
        <v>8.35</v>
      </c>
      <c r="N522" s="3">
        <v>4.2300000000000004</v>
      </c>
      <c r="O522" s="3">
        <v>0</v>
      </c>
      <c r="P522" s="3">
        <f>5.85-5.85</f>
        <v>0</v>
      </c>
      <c r="Q522" s="6">
        <f t="shared" ref="Q522" si="1184">+L522-M522-N522+P522</f>
        <v>70.92</v>
      </c>
      <c r="R522" s="3"/>
      <c r="S522" s="3">
        <v>65.19</v>
      </c>
      <c r="T522" s="3">
        <v>0</v>
      </c>
      <c r="U522" s="3"/>
      <c r="V522" s="3"/>
      <c r="W522" s="33">
        <v>6.51</v>
      </c>
      <c r="X522" s="2">
        <f t="shared" ref="X522" si="1185">+S522+T522++U522+V522-W522</f>
        <v>58.68</v>
      </c>
      <c r="Y522" s="6">
        <f t="shared" ref="Y522" si="1186">+Q522-X522</f>
        <v>12.240000000000002</v>
      </c>
      <c r="Z522" s="6">
        <f>SUM(Y515:Y522)</f>
        <v>70.550000000000011</v>
      </c>
      <c r="AA522" s="2"/>
      <c r="AB522" s="2"/>
      <c r="AC522" s="3"/>
      <c r="AD522" s="2"/>
      <c r="AE522" s="2"/>
      <c r="AF522" s="2"/>
      <c r="AG522" s="2"/>
      <c r="AH522" s="2" t="s">
        <v>5231</v>
      </c>
      <c r="AI522" s="2" t="s">
        <v>5230</v>
      </c>
      <c r="AJ522" s="2"/>
      <c r="AK522" s="2"/>
      <c r="AL522" s="2" t="s">
        <v>5437</v>
      </c>
      <c r="AM522" s="16" t="s">
        <v>5465</v>
      </c>
      <c r="AN522" s="2"/>
      <c r="AO522" s="2" t="s">
        <v>5463</v>
      </c>
      <c r="AP522" s="2" t="s">
        <v>4966</v>
      </c>
      <c r="AQ522" s="2"/>
      <c r="AR522" s="16" t="s">
        <v>5464</v>
      </c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</row>
    <row r="523" spans="3:58" ht="17.25" customHeight="1">
      <c r="C523" s="1">
        <v>43980</v>
      </c>
      <c r="E523" s="2" t="s">
        <v>4505</v>
      </c>
      <c r="F523" s="15"/>
      <c r="G523" s="2" t="s">
        <v>5182</v>
      </c>
      <c r="H523" s="2" t="s">
        <v>5621</v>
      </c>
      <c r="I523" s="2"/>
      <c r="J523" s="2">
        <v>1</v>
      </c>
      <c r="K523" s="2"/>
      <c r="L523" s="3">
        <v>35.85</v>
      </c>
      <c r="M523" s="3">
        <v>3.58</v>
      </c>
      <c r="N523" s="3">
        <v>2.0099999999999998</v>
      </c>
      <c r="O523" s="3"/>
      <c r="P523" s="3">
        <f>3.09-3.09</f>
        <v>0</v>
      </c>
      <c r="Q523" s="6">
        <f t="shared" ref="Q523" si="1187">+L523-M523-N523+P523</f>
        <v>30.260000000000005</v>
      </c>
      <c r="R523" s="3"/>
      <c r="S523" s="3">
        <v>19.989999999999998</v>
      </c>
      <c r="T523" s="3">
        <v>1.68</v>
      </c>
      <c r="U523" s="3"/>
      <c r="V523" s="3"/>
      <c r="W523" s="3"/>
      <c r="X523" s="2">
        <f t="shared" ref="X523" si="1188">+S523+T523++U523+V523-W523</f>
        <v>21.669999999999998</v>
      </c>
      <c r="Y523" s="6">
        <f t="shared" ref="Y523" si="1189">+Q523-X523</f>
        <v>8.590000000000007</v>
      </c>
      <c r="Z523" s="2"/>
      <c r="AA523" s="2"/>
      <c r="AB523" s="2"/>
      <c r="AC523" s="3"/>
      <c r="AD523" s="2"/>
      <c r="AE523" s="2"/>
      <c r="AF523" s="2"/>
      <c r="AG523" s="2"/>
      <c r="AH523" s="2" t="s">
        <v>5184</v>
      </c>
      <c r="AI523" s="2" t="s">
        <v>5183</v>
      </c>
      <c r="AJ523" s="2"/>
      <c r="AK523" s="2"/>
      <c r="AL523" s="2" t="s">
        <v>2926</v>
      </c>
      <c r="AM523" s="16" t="s">
        <v>5622</v>
      </c>
      <c r="AN523" s="2"/>
      <c r="AO523" s="2" t="s">
        <v>5309</v>
      </c>
      <c r="AP523" s="2" t="s">
        <v>4932</v>
      </c>
      <c r="AQ523" s="2"/>
      <c r="AR523" s="16" t="s">
        <v>5310</v>
      </c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</row>
    <row r="524" spans="3:58" ht="17.25" customHeight="1">
      <c r="C524" s="1">
        <v>43980</v>
      </c>
      <c r="E524" s="2" t="s">
        <v>4505</v>
      </c>
      <c r="F524" s="15"/>
      <c r="G524" s="2" t="s">
        <v>5179</v>
      </c>
      <c r="H524" s="2" t="s">
        <v>5178</v>
      </c>
      <c r="I524" s="2"/>
      <c r="J524" s="2">
        <v>1</v>
      </c>
      <c r="K524" s="2"/>
      <c r="L524" s="3">
        <v>35.85</v>
      </c>
      <c r="M524" s="3">
        <v>3.58</v>
      </c>
      <c r="N524" s="3">
        <v>2.0099999999999998</v>
      </c>
      <c r="O524" s="3"/>
      <c r="P524" s="3">
        <f>3.09-3.09</f>
        <v>0</v>
      </c>
      <c r="Q524" s="6">
        <f t="shared" ref="Q524" si="1190">+L524-M524-N524+P524</f>
        <v>30.260000000000005</v>
      </c>
      <c r="R524" s="3"/>
      <c r="S524" s="3">
        <v>18.989999999999998</v>
      </c>
      <c r="T524" s="3">
        <v>1.64</v>
      </c>
      <c r="U524" s="3"/>
      <c r="V524" s="3"/>
      <c r="W524" s="3"/>
      <c r="X524" s="2">
        <f t="shared" ref="X524" si="1191">+S524+T524++U524+V524-W524</f>
        <v>20.63</v>
      </c>
      <c r="Y524" s="6">
        <f t="shared" ref="Y524" si="1192">+Q524-X524</f>
        <v>9.6300000000000061</v>
      </c>
      <c r="Z524" s="2"/>
      <c r="AA524" s="2"/>
      <c r="AB524" s="2"/>
      <c r="AC524" s="3"/>
      <c r="AD524" s="2"/>
      <c r="AE524" s="2"/>
      <c r="AF524" s="2"/>
      <c r="AG524" s="2"/>
      <c r="AH524" s="2" t="s">
        <v>5181</v>
      </c>
      <c r="AI524" s="2" t="s">
        <v>5180</v>
      </c>
      <c r="AJ524" s="2"/>
      <c r="AK524" s="2"/>
      <c r="AL524" s="2" t="s">
        <v>5426</v>
      </c>
      <c r="AM524" s="2" t="s">
        <v>5518</v>
      </c>
      <c r="AN524" s="2"/>
      <c r="AO524" s="2" t="s">
        <v>5308</v>
      </c>
      <c r="AP524" s="2" t="s">
        <v>4932</v>
      </c>
      <c r="AQ524" s="2"/>
      <c r="AR524" s="16" t="s">
        <v>5296</v>
      </c>
      <c r="AS524" s="16" t="s">
        <v>5431</v>
      </c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</row>
    <row r="525" spans="3:58" ht="17.25" customHeight="1">
      <c r="C525" s="1">
        <v>43980</v>
      </c>
      <c r="E525" s="2" t="s">
        <v>5172</v>
      </c>
      <c r="F525" s="15"/>
      <c r="G525" s="2" t="s">
        <v>5175</v>
      </c>
      <c r="H525" s="2" t="s">
        <v>5174</v>
      </c>
      <c r="I525" s="2"/>
      <c r="J525" s="2">
        <v>1</v>
      </c>
      <c r="K525" s="2"/>
      <c r="L525" s="3">
        <v>83.5</v>
      </c>
      <c r="M525" s="3">
        <v>8.35</v>
      </c>
      <c r="N525" s="3">
        <v>4.24</v>
      </c>
      <c r="O525" s="3">
        <v>0</v>
      </c>
      <c r="P525" s="3">
        <f>6.05-6.05</f>
        <v>0</v>
      </c>
      <c r="Q525" s="6">
        <f t="shared" ref="Q525" si="1193">+L525-M525-N525+P525</f>
        <v>70.910000000000011</v>
      </c>
      <c r="R525" s="3"/>
      <c r="S525" s="3">
        <v>65.19</v>
      </c>
      <c r="T525" s="3">
        <v>4.7300000000000004</v>
      </c>
      <c r="U525" s="3"/>
      <c r="V525" s="3"/>
      <c r="W525" s="3">
        <f>6.51+0.48</f>
        <v>6.99</v>
      </c>
      <c r="X525" s="2">
        <f t="shared" ref="X525" si="1194">+S525+T525++U525+V525-W525</f>
        <v>62.93</v>
      </c>
      <c r="Y525" s="6">
        <f t="shared" ref="Y525" si="1195">+Q525-X525</f>
        <v>7.9800000000000111</v>
      </c>
      <c r="Z525" s="2"/>
      <c r="AA525" s="2"/>
      <c r="AB525" s="2"/>
      <c r="AC525" s="3"/>
      <c r="AD525" s="2"/>
      <c r="AE525" s="2"/>
      <c r="AF525" s="2"/>
      <c r="AG525" s="2"/>
      <c r="AH525" s="2" t="s">
        <v>5177</v>
      </c>
      <c r="AI525" s="2" t="s">
        <v>5176</v>
      </c>
      <c r="AJ525" s="2"/>
      <c r="AK525" s="2"/>
      <c r="AL525" s="2" t="s">
        <v>5437</v>
      </c>
      <c r="AM525" s="16" t="s">
        <v>5436</v>
      </c>
      <c r="AN525" s="2"/>
      <c r="AO525" s="2" t="s">
        <v>5404</v>
      </c>
      <c r="AP525" s="2" t="s">
        <v>4966</v>
      </c>
      <c r="AQ525" s="2"/>
      <c r="AR525" s="16" t="s">
        <v>5403</v>
      </c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</row>
    <row r="526" spans="3:58" ht="17.25" customHeight="1">
      <c r="C526" s="1">
        <v>43980</v>
      </c>
      <c r="E526" s="2" t="s">
        <v>4075</v>
      </c>
      <c r="F526" s="15"/>
      <c r="G526" s="2" t="s">
        <v>5162</v>
      </c>
      <c r="H526" s="2" t="s">
        <v>5161</v>
      </c>
      <c r="I526" s="2"/>
      <c r="J526" s="2">
        <v>1</v>
      </c>
      <c r="K526" s="2"/>
      <c r="L526" s="3">
        <v>31.5</v>
      </c>
      <c r="M526" s="3">
        <v>3.15</v>
      </c>
      <c r="N526" s="3">
        <v>1.77</v>
      </c>
      <c r="O526" s="3"/>
      <c r="P526" s="3">
        <f>1.89-1.89</f>
        <v>0</v>
      </c>
      <c r="Q526" s="6">
        <f t="shared" ref="Q526" si="1196">+L526-M526-N526+P526</f>
        <v>26.580000000000002</v>
      </c>
      <c r="R526" s="3"/>
      <c r="S526" s="3">
        <v>21.3</v>
      </c>
      <c r="T526" s="3">
        <v>1.28</v>
      </c>
      <c r="U526" s="3"/>
      <c r="V526" s="3"/>
      <c r="W526" s="3"/>
      <c r="X526" s="2">
        <f t="shared" ref="X526" si="1197">+S526+T526++U526+V526-W526</f>
        <v>22.580000000000002</v>
      </c>
      <c r="Y526" s="6">
        <f t="shared" ref="Y526" si="1198">+Q526-X526</f>
        <v>4</v>
      </c>
      <c r="Z526" s="2"/>
      <c r="AA526" s="2"/>
      <c r="AB526" s="2"/>
      <c r="AC526" s="3"/>
      <c r="AD526" s="2"/>
      <c r="AE526" s="2"/>
      <c r="AF526" s="2"/>
      <c r="AG526" s="2"/>
      <c r="AH526" s="2" t="s">
        <v>5164</v>
      </c>
      <c r="AI526" s="2" t="s">
        <v>5163</v>
      </c>
      <c r="AJ526" s="2"/>
      <c r="AK526" s="2"/>
      <c r="AL526" s="2" t="s">
        <v>4571</v>
      </c>
      <c r="AM526" s="16" t="s">
        <v>5335</v>
      </c>
      <c r="AN526" s="2"/>
      <c r="AO526" s="2" t="s">
        <v>5166</v>
      </c>
      <c r="AP526" s="16" t="s">
        <v>4825</v>
      </c>
      <c r="AQ526" s="16"/>
      <c r="AR526" s="16" t="s">
        <v>5165</v>
      </c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</row>
    <row r="527" spans="3:58" ht="17.25" customHeight="1">
      <c r="C527" s="1">
        <v>43980</v>
      </c>
      <c r="E527" s="2" t="s">
        <v>4505</v>
      </c>
      <c r="F527" s="15"/>
      <c r="G527" s="2" t="s">
        <v>5154</v>
      </c>
      <c r="H527" s="2" t="s">
        <v>5307</v>
      </c>
      <c r="I527" s="2"/>
      <c r="J527" s="2">
        <v>0</v>
      </c>
      <c r="K527" s="2"/>
      <c r="L527" s="3">
        <v>0</v>
      </c>
      <c r="M527" s="3">
        <v>0</v>
      </c>
      <c r="N527" s="3">
        <v>0</v>
      </c>
      <c r="O527" s="3"/>
      <c r="P527" s="3">
        <v>0</v>
      </c>
      <c r="Q527" s="6">
        <f t="shared" ref="Q527" si="1199">+L527-M527-N527+P527</f>
        <v>0</v>
      </c>
      <c r="R527" s="3"/>
      <c r="S527" s="3">
        <v>0</v>
      </c>
      <c r="T527" s="3">
        <v>0</v>
      </c>
      <c r="U527" s="3"/>
      <c r="V527" s="3"/>
      <c r="W527" s="3"/>
      <c r="X527" s="2">
        <f t="shared" ref="X527" si="1200">+S527+T527++U527+V527-W527</f>
        <v>0</v>
      </c>
      <c r="Y527" s="6">
        <f t="shared" ref="Y527" si="1201">+Q527-X527</f>
        <v>0</v>
      </c>
      <c r="Z527" s="2"/>
      <c r="AA527" s="2"/>
      <c r="AB527" s="2"/>
      <c r="AC527" s="3"/>
      <c r="AD527" s="2"/>
      <c r="AE527" s="2"/>
      <c r="AF527" s="2"/>
      <c r="AG527" s="2"/>
      <c r="AH527" s="2" t="s">
        <v>5156</v>
      </c>
      <c r="AI527" s="2" t="s">
        <v>5155</v>
      </c>
      <c r="AJ527" s="2"/>
      <c r="AK527" s="2"/>
      <c r="AL527" s="2"/>
      <c r="AM527" s="5" t="s">
        <v>5294</v>
      </c>
      <c r="AN527" s="2"/>
      <c r="AO527" s="5" t="s">
        <v>5294</v>
      </c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</row>
    <row r="528" spans="3:58" ht="17.25" customHeight="1">
      <c r="C528" s="1">
        <v>43980</v>
      </c>
      <c r="E528" s="2" t="s">
        <v>4505</v>
      </c>
      <c r="F528" s="15"/>
      <c r="G528" s="2" t="s">
        <v>5151</v>
      </c>
      <c r="H528" s="2" t="s">
        <v>5150</v>
      </c>
      <c r="I528" s="2"/>
      <c r="J528" s="2">
        <v>1</v>
      </c>
      <c r="K528" s="2"/>
      <c r="L528" s="3">
        <v>35.85</v>
      </c>
      <c r="M528" s="3">
        <v>3.58</v>
      </c>
      <c r="N528" s="3">
        <v>1.98</v>
      </c>
      <c r="O528" s="3"/>
      <c r="P528" s="3">
        <f>2.38-2.38</f>
        <v>0</v>
      </c>
      <c r="Q528" s="6">
        <f t="shared" ref="Q528" si="1202">+L528-M528-N528+P528</f>
        <v>30.290000000000003</v>
      </c>
      <c r="R528" s="3"/>
      <c r="S528" s="3">
        <v>19.989999999999998</v>
      </c>
      <c r="T528" s="3">
        <v>1.32</v>
      </c>
      <c r="U528" s="3"/>
      <c r="V528" s="3"/>
      <c r="W528" s="3"/>
      <c r="X528" s="2">
        <f t="shared" ref="X528" si="1203">+S528+T528++U528+V528-W528</f>
        <v>21.31</v>
      </c>
      <c r="Y528" s="6">
        <f t="shared" ref="Y528" si="1204">+Q528-X528</f>
        <v>8.980000000000004</v>
      </c>
      <c r="Z528" s="2"/>
      <c r="AA528" s="2"/>
      <c r="AB528" s="2"/>
      <c r="AC528" s="3"/>
      <c r="AD528" s="2"/>
      <c r="AE528" s="2"/>
      <c r="AF528" s="2"/>
      <c r="AG528" s="2"/>
      <c r="AH528" s="2" t="s">
        <v>5153</v>
      </c>
      <c r="AI528" s="2" t="s">
        <v>5152</v>
      </c>
      <c r="AJ528" s="2"/>
      <c r="AK528" s="2"/>
      <c r="AL528" s="2" t="s">
        <v>4571</v>
      </c>
      <c r="AM528" s="16" t="s">
        <v>5191</v>
      </c>
      <c r="AN528" s="2"/>
      <c r="AO528" s="2" t="s">
        <v>5157</v>
      </c>
      <c r="AP528" s="2" t="s">
        <v>5159</v>
      </c>
      <c r="AQ528" s="2"/>
      <c r="AR528" s="16" t="s">
        <v>5158</v>
      </c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</row>
    <row r="529" spans="3:58" ht="17.25" customHeight="1">
      <c r="C529" s="1">
        <v>43980</v>
      </c>
      <c r="E529" s="2" t="s">
        <v>7</v>
      </c>
      <c r="F529" s="15"/>
      <c r="G529" s="2" t="s">
        <v>5833</v>
      </c>
      <c r="H529" s="2" t="s">
        <v>5832</v>
      </c>
      <c r="I529" s="2"/>
      <c r="J529" s="2">
        <v>1</v>
      </c>
      <c r="K529" s="2"/>
      <c r="L529" s="3"/>
      <c r="M529" s="3"/>
      <c r="N529" s="3"/>
      <c r="O529" s="3"/>
      <c r="P529" s="3"/>
      <c r="Q529" s="6"/>
      <c r="R529" s="3"/>
      <c r="S529" s="3"/>
      <c r="T529" s="3"/>
      <c r="U529" s="3"/>
      <c r="V529" s="3"/>
      <c r="W529" s="3"/>
      <c r="X529" s="2"/>
      <c r="Y529" s="6"/>
      <c r="Z529" s="2"/>
      <c r="AA529" s="2"/>
      <c r="AB529" s="2"/>
      <c r="AC529" s="3"/>
      <c r="AD529" s="2"/>
      <c r="AE529" s="2"/>
      <c r="AF529" s="2"/>
      <c r="AG529" s="2"/>
      <c r="AH529" s="2"/>
      <c r="AI529" s="2"/>
      <c r="AJ529" s="2"/>
      <c r="AK529" s="2"/>
      <c r="AL529" s="2"/>
      <c r="AM529" s="16"/>
      <c r="AN529" s="2"/>
      <c r="AO529" s="2"/>
      <c r="AP529" s="2"/>
      <c r="AQ529" s="2"/>
      <c r="AR529" s="16"/>
      <c r="AS529" s="2"/>
      <c r="AT529" s="2"/>
      <c r="AU529" s="2" t="s">
        <v>5844</v>
      </c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</row>
    <row r="530" spans="3:58" ht="17.25" customHeight="1">
      <c r="C530" s="1">
        <v>43980</v>
      </c>
      <c r="E530" s="2" t="s">
        <v>5102</v>
      </c>
      <c r="F530" s="15"/>
      <c r="G530" s="2" t="s">
        <v>5233</v>
      </c>
      <c r="H530" s="2" t="s">
        <v>5244</v>
      </c>
      <c r="I530" s="2"/>
      <c r="J530" s="2">
        <v>0</v>
      </c>
      <c r="K530" s="2"/>
      <c r="L530" s="3">
        <v>0</v>
      </c>
      <c r="M530" s="3">
        <v>0</v>
      </c>
      <c r="N530" s="3">
        <v>0</v>
      </c>
      <c r="O530" s="3"/>
      <c r="P530" s="3">
        <f>2.55-2.55</f>
        <v>0</v>
      </c>
      <c r="Q530" s="6">
        <f t="shared" ref="Q530:Q531" si="1205">+L530-M530-N530+P530</f>
        <v>0</v>
      </c>
      <c r="R530" s="3"/>
      <c r="S530" s="3">
        <v>0</v>
      </c>
      <c r="T530" s="3">
        <v>0</v>
      </c>
      <c r="U530" s="3">
        <v>0</v>
      </c>
      <c r="V530" s="3"/>
      <c r="W530" s="3"/>
      <c r="X530" s="2">
        <f t="shared" ref="X530:X531" si="1206">+S530+T530++U530+V530-W530</f>
        <v>0</v>
      </c>
      <c r="Y530" s="6">
        <f t="shared" ref="Y530:Y531" si="1207">+Q530-X530</f>
        <v>0</v>
      </c>
      <c r="Z530" s="2"/>
      <c r="AA530" s="2"/>
      <c r="AB530" s="2"/>
      <c r="AC530" s="3"/>
      <c r="AD530" s="2"/>
      <c r="AE530" s="2"/>
      <c r="AF530" s="2"/>
      <c r="AG530" s="2"/>
      <c r="AH530" s="2" t="s">
        <v>5133</v>
      </c>
      <c r="AI530" s="2" t="s">
        <v>5132</v>
      </c>
      <c r="AJ530" s="2"/>
      <c r="AK530" s="2"/>
      <c r="AL530" s="2"/>
      <c r="AM530" s="5" t="s">
        <v>5294</v>
      </c>
      <c r="AN530" s="2"/>
      <c r="AO530" s="5" t="s">
        <v>5294</v>
      </c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</row>
    <row r="531" spans="3:58" ht="17.25" customHeight="1">
      <c r="C531" s="1">
        <v>43980</v>
      </c>
      <c r="E531" s="2" t="s">
        <v>3288</v>
      </c>
      <c r="F531" s="15"/>
      <c r="G531" s="2" t="s">
        <v>2089</v>
      </c>
      <c r="H531" s="2" t="s">
        <v>2090</v>
      </c>
      <c r="I531" s="2"/>
      <c r="J531" s="2">
        <v>1</v>
      </c>
      <c r="K531" s="2"/>
      <c r="L531" s="3">
        <v>29.35</v>
      </c>
      <c r="M531" s="3">
        <v>2.93</v>
      </c>
      <c r="N531" s="3">
        <v>1.68</v>
      </c>
      <c r="O531" s="3"/>
      <c r="P531" s="3">
        <f>2.05-2.05</f>
        <v>0</v>
      </c>
      <c r="Q531" s="6">
        <f t="shared" si="1205"/>
        <v>24.740000000000002</v>
      </c>
      <c r="R531" s="3"/>
      <c r="S531" s="3">
        <v>14.98</v>
      </c>
      <c r="T531" s="3">
        <v>1.05</v>
      </c>
      <c r="U531" s="3">
        <v>0</v>
      </c>
      <c r="V531" s="3"/>
      <c r="W531" s="3">
        <v>0</v>
      </c>
      <c r="X531" s="2">
        <f t="shared" si="1206"/>
        <v>16.03</v>
      </c>
      <c r="Y531" s="6">
        <f t="shared" si="1207"/>
        <v>8.7100000000000009</v>
      </c>
      <c r="Z531" s="2"/>
      <c r="AA531" s="2"/>
      <c r="AB531" s="2"/>
      <c r="AC531" s="3"/>
      <c r="AD531" s="2"/>
      <c r="AE531" s="2"/>
      <c r="AF531" s="2"/>
      <c r="AG531" s="2"/>
      <c r="AH531" s="2" t="s">
        <v>2092</v>
      </c>
      <c r="AI531" s="2" t="s">
        <v>2091</v>
      </c>
      <c r="AJ531" s="2"/>
      <c r="AK531" s="2"/>
      <c r="AL531" s="2" t="s">
        <v>4571</v>
      </c>
      <c r="AM531" s="16" t="s">
        <v>5193</v>
      </c>
      <c r="AN531" s="2"/>
      <c r="AO531" s="2" t="s">
        <v>5149</v>
      </c>
      <c r="AP531" s="2" t="s">
        <v>4501</v>
      </c>
      <c r="AQ531" s="2"/>
      <c r="AR531" s="16" t="s">
        <v>4647</v>
      </c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</row>
    <row r="532" spans="3:58" ht="17.25" customHeight="1">
      <c r="C532" s="1">
        <v>43980</v>
      </c>
      <c r="E532" s="2" t="s">
        <v>5102</v>
      </c>
      <c r="F532" s="15"/>
      <c r="G532" s="2" t="s">
        <v>5131</v>
      </c>
      <c r="H532" s="2" t="s">
        <v>5130</v>
      </c>
      <c r="I532" s="2"/>
      <c r="J532" s="2">
        <v>1</v>
      </c>
      <c r="K532" s="2"/>
      <c r="L532" s="3">
        <v>31.5</v>
      </c>
      <c r="M532" s="3">
        <v>3.15</v>
      </c>
      <c r="N532" s="3">
        <v>1.8</v>
      </c>
      <c r="O532" s="3"/>
      <c r="P532" s="3">
        <f>2.55-2.55</f>
        <v>0</v>
      </c>
      <c r="Q532" s="6">
        <f t="shared" ref="Q532" si="1208">+L532-M532-N532+P532</f>
        <v>26.55</v>
      </c>
      <c r="R532" s="3"/>
      <c r="S532" s="3">
        <v>18.89</v>
      </c>
      <c r="T532" s="3">
        <v>1.54</v>
      </c>
      <c r="U532" s="3">
        <v>0</v>
      </c>
      <c r="V532" s="3"/>
      <c r="W532" s="3"/>
      <c r="X532" s="2">
        <f t="shared" ref="X532" si="1209">+S532+T532++U532+V532-W532</f>
        <v>20.43</v>
      </c>
      <c r="Y532" s="6">
        <f t="shared" ref="Y532" si="1210">+Q532-X532</f>
        <v>6.120000000000001</v>
      </c>
      <c r="Z532" s="2"/>
      <c r="AA532" s="2"/>
      <c r="AB532" s="2"/>
      <c r="AC532" s="3"/>
      <c r="AD532" s="2"/>
      <c r="AE532" s="2"/>
      <c r="AF532" s="2"/>
      <c r="AG532" s="2"/>
      <c r="AH532" s="2" t="s">
        <v>5133</v>
      </c>
      <c r="AI532" s="2" t="s">
        <v>5132</v>
      </c>
      <c r="AJ532" s="2"/>
      <c r="AK532" s="2"/>
      <c r="AL532" s="2" t="s">
        <v>5437</v>
      </c>
      <c r="AM532" s="16" t="s">
        <v>5439</v>
      </c>
      <c r="AN532" s="2"/>
      <c r="AO532" s="2" t="s">
        <v>5142</v>
      </c>
      <c r="AP532" s="2" t="s">
        <v>4643</v>
      </c>
      <c r="AQ532" s="2"/>
      <c r="AR532" s="16" t="s">
        <v>5141</v>
      </c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</row>
    <row r="533" spans="3:58" ht="17.25" customHeight="1">
      <c r="C533" s="1">
        <v>43980</v>
      </c>
      <c r="E533" s="2" t="s">
        <v>393</v>
      </c>
      <c r="F533" s="15"/>
      <c r="G533" s="2" t="s">
        <v>5104</v>
      </c>
      <c r="H533" s="2" t="s">
        <v>5103</v>
      </c>
      <c r="I533" s="2"/>
      <c r="J533" s="2">
        <v>1</v>
      </c>
      <c r="K533" s="2"/>
      <c r="L533" s="3">
        <v>74.5</v>
      </c>
      <c r="M533" s="3">
        <v>7.45</v>
      </c>
      <c r="N533" s="3">
        <v>3.83</v>
      </c>
      <c r="O533" s="3"/>
      <c r="P533" s="3">
        <f>5.77-5.77</f>
        <v>0</v>
      </c>
      <c r="Q533" s="6">
        <f t="shared" ref="Q533:Q535" si="1211">+L533-M533-N533+P533</f>
        <v>63.22</v>
      </c>
      <c r="R533" s="3"/>
      <c r="S533" s="3">
        <v>52.99</v>
      </c>
      <c r="T533" s="3">
        <v>4.1100000000000003</v>
      </c>
      <c r="U533" s="3">
        <v>0</v>
      </c>
      <c r="V533" s="3"/>
      <c r="W533" s="3"/>
      <c r="X533" s="2">
        <f t="shared" ref="X533:X534" si="1212">+S533+T533++U533+V533-W533</f>
        <v>57.1</v>
      </c>
      <c r="Y533" s="6">
        <f t="shared" ref="Y533:Y534" si="1213">+Q533-X533</f>
        <v>6.1199999999999974</v>
      </c>
      <c r="Z533" s="6">
        <f>SUM(Y523:Y533)</f>
        <v>60.130000000000031</v>
      </c>
      <c r="AA533" s="2"/>
      <c r="AB533" s="2"/>
      <c r="AC533" s="3"/>
      <c r="AD533" s="2"/>
      <c r="AE533" s="2"/>
      <c r="AF533" s="2"/>
      <c r="AG533" s="2"/>
      <c r="AH533" s="2" t="s">
        <v>5106</v>
      </c>
      <c r="AI533" s="2" t="s">
        <v>5105</v>
      </c>
      <c r="AJ533" s="2"/>
      <c r="AK533" s="2"/>
      <c r="AL533" s="2" t="s">
        <v>4612</v>
      </c>
      <c r="AM533" s="16" t="s">
        <v>5148</v>
      </c>
      <c r="AN533" s="2"/>
      <c r="AO533" s="2" t="s">
        <v>5108</v>
      </c>
      <c r="AP533" s="2" t="s">
        <v>5107</v>
      </c>
      <c r="AQ533" s="2"/>
      <c r="AR533" s="16" t="s">
        <v>4798</v>
      </c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</row>
    <row r="534" spans="3:58" ht="17.25" customHeight="1">
      <c r="C534" s="1">
        <v>43979</v>
      </c>
      <c r="E534" s="2" t="s">
        <v>4764</v>
      </c>
      <c r="F534" s="15"/>
      <c r="G534" s="2" t="s">
        <v>5123</v>
      </c>
      <c r="H534" s="2" t="s">
        <v>5122</v>
      </c>
      <c r="I534" s="2"/>
      <c r="J534" s="2">
        <v>1</v>
      </c>
      <c r="K534" s="2"/>
      <c r="L534" s="3">
        <v>22.95</v>
      </c>
      <c r="M534" s="3">
        <v>2.29</v>
      </c>
      <c r="N534" s="3">
        <v>1.37</v>
      </c>
      <c r="O534" s="3"/>
      <c r="P534" s="3">
        <f>1.43-1.43</f>
        <v>0</v>
      </c>
      <c r="Q534" s="6">
        <f t="shared" si="1211"/>
        <v>19.29</v>
      </c>
      <c r="R534" s="3"/>
      <c r="S534" s="3">
        <v>11.95</v>
      </c>
      <c r="T534" s="3">
        <v>0.74</v>
      </c>
      <c r="U534" s="3"/>
      <c r="V534" s="3"/>
      <c r="W534" s="3"/>
      <c r="X534" s="3">
        <f t="shared" si="1212"/>
        <v>12.69</v>
      </c>
      <c r="Y534" s="6">
        <f t="shared" si="1213"/>
        <v>6.6</v>
      </c>
      <c r="Z534" s="2"/>
      <c r="AA534" s="2"/>
      <c r="AB534" s="2"/>
      <c r="AC534" s="3"/>
      <c r="AD534" s="2"/>
      <c r="AE534" s="2"/>
      <c r="AF534" s="2"/>
      <c r="AG534" s="2"/>
      <c r="AH534" s="2" t="s">
        <v>5125</v>
      </c>
      <c r="AI534" s="2" t="s">
        <v>5124</v>
      </c>
      <c r="AJ534" s="2"/>
      <c r="AK534" s="2"/>
      <c r="AL534" s="2" t="s">
        <v>4911</v>
      </c>
      <c r="AM534" s="2" t="s">
        <v>5291</v>
      </c>
      <c r="AN534" s="2"/>
      <c r="AO534" s="2" t="s">
        <v>5243</v>
      </c>
      <c r="AP534" s="2" t="s">
        <v>4932</v>
      </c>
      <c r="AQ534" s="2"/>
      <c r="AR534" s="16" t="s">
        <v>5009</v>
      </c>
      <c r="AS534" s="2" t="s">
        <v>5167</v>
      </c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</row>
    <row r="535" spans="3:58" ht="17.25" customHeight="1">
      <c r="C535" s="1">
        <v>43979</v>
      </c>
      <c r="E535" s="2" t="s">
        <v>5101</v>
      </c>
      <c r="F535" s="15"/>
      <c r="G535" s="2" t="s">
        <v>5245</v>
      </c>
      <c r="H535" s="2" t="s">
        <v>5382</v>
      </c>
      <c r="I535" s="2"/>
      <c r="J535" s="2">
        <v>1</v>
      </c>
      <c r="K535" s="2"/>
      <c r="L535" s="3">
        <v>0</v>
      </c>
      <c r="M535" s="3">
        <v>0</v>
      </c>
      <c r="N535" s="3">
        <v>0</v>
      </c>
      <c r="O535" s="3"/>
      <c r="P535" s="3">
        <f>1.89-1.89</f>
        <v>0</v>
      </c>
      <c r="Q535" s="6">
        <f t="shared" si="1211"/>
        <v>0</v>
      </c>
      <c r="R535" s="3"/>
      <c r="S535" s="3">
        <v>0</v>
      </c>
      <c r="T535" s="3">
        <v>0</v>
      </c>
      <c r="U535" s="3"/>
      <c r="V535" s="3"/>
      <c r="W535" s="3"/>
      <c r="X535" s="3">
        <f t="shared" ref="X535" si="1214">+S535+T535++U535+V535-W535</f>
        <v>0</v>
      </c>
      <c r="Y535" s="6">
        <f t="shared" ref="Y535" si="1215">+Q535-X535</f>
        <v>0</v>
      </c>
      <c r="Z535" s="2"/>
      <c r="AA535" s="2"/>
      <c r="AB535" s="2"/>
      <c r="AC535" s="3"/>
      <c r="AD535" s="2"/>
      <c r="AE535" s="2"/>
      <c r="AF535" s="2"/>
      <c r="AG535" s="2"/>
      <c r="AH535" s="2" t="s">
        <v>5127</v>
      </c>
      <c r="AI535" s="2" t="s">
        <v>5126</v>
      </c>
      <c r="AJ535" s="2"/>
      <c r="AK535" s="2"/>
      <c r="AL535" s="2"/>
      <c r="AM535" s="5" t="s">
        <v>5311</v>
      </c>
      <c r="AN535" s="2"/>
      <c r="AO535" s="5" t="s">
        <v>5311</v>
      </c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</row>
    <row r="536" spans="3:58" ht="17.25" customHeight="1">
      <c r="C536" s="1">
        <v>43979</v>
      </c>
      <c r="E536" s="2" t="s">
        <v>4764</v>
      </c>
      <c r="F536" s="15"/>
      <c r="G536" s="2" t="s">
        <v>5121</v>
      </c>
      <c r="H536" s="2" t="s">
        <v>5120</v>
      </c>
      <c r="I536" s="2"/>
      <c r="J536" s="2">
        <v>1</v>
      </c>
      <c r="K536" s="2"/>
      <c r="L536" s="3">
        <v>22.95</v>
      </c>
      <c r="M536" s="3">
        <v>2.29</v>
      </c>
      <c r="N536" s="3">
        <v>1.47</v>
      </c>
      <c r="O536" s="3"/>
      <c r="P536" s="3">
        <f>1.38-1.38</f>
        <v>0</v>
      </c>
      <c r="Q536" s="6">
        <f t="shared" ref="Q536" si="1216">+L536-M536-N536+P536</f>
        <v>19.190000000000001</v>
      </c>
      <c r="R536" s="3"/>
      <c r="S536" s="3">
        <v>11.95</v>
      </c>
      <c r="T536" s="3">
        <v>0.72</v>
      </c>
      <c r="U536" s="3"/>
      <c r="V536" s="3"/>
      <c r="W536" s="3"/>
      <c r="X536" s="3">
        <f t="shared" ref="X536" si="1217">+S536+T536++U536+V536-W536</f>
        <v>12.67</v>
      </c>
      <c r="Y536" s="6">
        <f t="shared" ref="Y536" si="1218">+Q536-X536</f>
        <v>6.5200000000000014</v>
      </c>
      <c r="Z536" s="2"/>
      <c r="AA536" s="2"/>
      <c r="AB536" s="2"/>
      <c r="AC536" s="3"/>
      <c r="AD536" s="2"/>
      <c r="AE536" s="2"/>
      <c r="AF536" s="2"/>
      <c r="AG536" s="2"/>
      <c r="AH536" s="2" t="s">
        <v>5129</v>
      </c>
      <c r="AI536" s="2" t="s">
        <v>5128</v>
      </c>
      <c r="AJ536" s="2"/>
      <c r="AK536" s="2"/>
      <c r="AL536" s="2" t="s">
        <v>4911</v>
      </c>
      <c r="AM536" s="2" t="s">
        <v>5336</v>
      </c>
      <c r="AN536" s="2"/>
      <c r="AO536" s="16" t="s">
        <v>5232</v>
      </c>
      <c r="AP536" s="2" t="s">
        <v>4932</v>
      </c>
      <c r="AQ536" s="2"/>
      <c r="AR536" s="16" t="s">
        <v>5009</v>
      </c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</row>
    <row r="537" spans="3:58" ht="17.25" customHeight="1">
      <c r="C537" s="1">
        <v>43979</v>
      </c>
      <c r="E537" s="2" t="s">
        <v>3290</v>
      </c>
      <c r="F537" s="15"/>
      <c r="G537" s="2" t="s">
        <v>5117</v>
      </c>
      <c r="H537" s="2" t="s">
        <v>5160</v>
      </c>
      <c r="I537" s="2"/>
      <c r="J537" s="2">
        <v>0</v>
      </c>
      <c r="K537" s="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2"/>
      <c r="AA537" s="2"/>
      <c r="AB537" s="2"/>
      <c r="AC537" s="3"/>
      <c r="AD537" s="2"/>
      <c r="AE537" s="2"/>
      <c r="AF537" s="2"/>
      <c r="AG537" s="2"/>
      <c r="AH537" s="2" t="s">
        <v>5119</v>
      </c>
      <c r="AI537" s="2" t="s">
        <v>5118</v>
      </c>
      <c r="AJ537" s="2"/>
      <c r="AK537" s="2"/>
      <c r="AL537" s="2"/>
      <c r="AM537" s="5" t="s">
        <v>5210</v>
      </c>
      <c r="AN537" s="2"/>
      <c r="AO537" s="5" t="s">
        <v>5210</v>
      </c>
      <c r="AP537" s="2"/>
      <c r="AQ537" s="2"/>
      <c r="AR537" s="2"/>
      <c r="AS537" s="2"/>
      <c r="AT537" s="2"/>
      <c r="AU537" s="2" t="s">
        <v>5209</v>
      </c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</row>
    <row r="538" spans="3:58" ht="17.25" customHeight="1">
      <c r="C538" s="1">
        <v>43979</v>
      </c>
      <c r="E538" s="2" t="s">
        <v>4505</v>
      </c>
      <c r="F538" s="15"/>
      <c r="G538" s="2" t="s">
        <v>5114</v>
      </c>
      <c r="H538" s="2" t="s">
        <v>5113</v>
      </c>
      <c r="I538" s="2"/>
      <c r="J538" s="2">
        <v>1</v>
      </c>
      <c r="K538" s="2"/>
      <c r="L538" s="3">
        <v>31.85</v>
      </c>
      <c r="M538" s="3">
        <v>3.18</v>
      </c>
      <c r="N538" s="3">
        <v>1.78</v>
      </c>
      <c r="O538" s="3"/>
      <c r="P538" s="3">
        <f>1.75-1.75</f>
        <v>0</v>
      </c>
      <c r="Q538" s="6">
        <f t="shared" ref="Q538" si="1219">+L538-M538-N538+P538</f>
        <v>26.89</v>
      </c>
      <c r="R538" s="3"/>
      <c r="S538" s="3">
        <v>15.99</v>
      </c>
      <c r="T538" s="3">
        <v>0.88</v>
      </c>
      <c r="U538" s="3"/>
      <c r="V538" s="3"/>
      <c r="W538" s="3"/>
      <c r="X538" s="2">
        <f t="shared" ref="X538" si="1220">+S538+T538++U538+V538-W538</f>
        <v>16.87</v>
      </c>
      <c r="Y538" s="6">
        <f t="shared" ref="Y538" si="1221">+Q538-X538</f>
        <v>10.02</v>
      </c>
      <c r="Z538" s="2"/>
      <c r="AA538" s="2"/>
      <c r="AB538" s="2"/>
      <c r="AC538" s="3"/>
      <c r="AD538" s="2"/>
      <c r="AE538" s="2"/>
      <c r="AF538" s="2"/>
      <c r="AG538" s="2"/>
      <c r="AH538" s="2" t="s">
        <v>5116</v>
      </c>
      <c r="AI538" s="2" t="s">
        <v>5115</v>
      </c>
      <c r="AJ538" s="2"/>
      <c r="AK538" s="2"/>
      <c r="AL538" s="2" t="s">
        <v>2926</v>
      </c>
      <c r="AM538" s="16" t="s">
        <v>5640</v>
      </c>
      <c r="AN538" s="2"/>
      <c r="AO538" s="2" t="s">
        <v>5305</v>
      </c>
      <c r="AP538" s="2" t="s">
        <v>4932</v>
      </c>
      <c r="AQ538" s="2"/>
      <c r="AR538" s="16" t="s">
        <v>5306</v>
      </c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</row>
    <row r="539" spans="3:58" ht="17.25" customHeight="1">
      <c r="C539" s="1">
        <v>43979</v>
      </c>
      <c r="E539" s="2" t="s">
        <v>4595</v>
      </c>
      <c r="F539" s="15"/>
      <c r="G539" s="2" t="s">
        <v>5110</v>
      </c>
      <c r="H539" s="2" t="s">
        <v>5109</v>
      </c>
      <c r="I539" s="2"/>
      <c r="J539" s="2">
        <v>1</v>
      </c>
      <c r="K539" s="2"/>
      <c r="L539" s="3">
        <v>77.5</v>
      </c>
      <c r="M539" s="3">
        <v>7.75</v>
      </c>
      <c r="N539" s="3">
        <v>3.96</v>
      </c>
      <c r="O539" s="3">
        <v>0</v>
      </c>
      <c r="P539" s="3">
        <f>5.72-5.72</f>
        <v>0</v>
      </c>
      <c r="Q539" s="6">
        <f t="shared" ref="Q539" si="1222">+L539-M539-N539+P539</f>
        <v>65.790000000000006</v>
      </c>
      <c r="R539" s="3"/>
      <c r="S539" s="3">
        <v>59.19</v>
      </c>
      <c r="T539" s="3">
        <v>4.37</v>
      </c>
      <c r="U539" s="3"/>
      <c r="V539" s="3"/>
      <c r="W539" s="3">
        <f>5.91+0.44</f>
        <v>6.3500000000000005</v>
      </c>
      <c r="X539" s="2">
        <f t="shared" ref="X539" si="1223">+S539+T539++U539+V539-W539</f>
        <v>57.209999999999994</v>
      </c>
      <c r="Y539" s="6">
        <f t="shared" ref="Y539" si="1224">+Q539-X539</f>
        <v>8.5800000000000125</v>
      </c>
      <c r="Z539" s="2"/>
      <c r="AA539" s="2"/>
      <c r="AB539" s="2"/>
      <c r="AC539" s="3"/>
      <c r="AD539" s="2"/>
      <c r="AE539" s="2"/>
      <c r="AF539" s="2"/>
      <c r="AG539" s="2"/>
      <c r="AH539" s="2" t="s">
        <v>5112</v>
      </c>
      <c r="AI539" s="2" t="s">
        <v>5111</v>
      </c>
      <c r="AJ539" s="2"/>
      <c r="AK539" s="2"/>
      <c r="AL539" s="2" t="s">
        <v>5437</v>
      </c>
      <c r="AM539" s="16" t="s">
        <v>5438</v>
      </c>
      <c r="AN539" s="2"/>
      <c r="AO539" s="2" t="s">
        <v>5402</v>
      </c>
      <c r="AP539" s="2" t="s">
        <v>4966</v>
      </c>
      <c r="AQ539" s="2"/>
      <c r="AR539" s="16" t="s">
        <v>5403</v>
      </c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</row>
    <row r="540" spans="3:58" ht="17.25" customHeight="1">
      <c r="C540" s="1">
        <v>43979</v>
      </c>
      <c r="E540" s="2" t="s">
        <v>4505</v>
      </c>
      <c r="F540" s="15"/>
      <c r="G540" s="2" t="s">
        <v>5100</v>
      </c>
      <c r="H540" s="2" t="s">
        <v>5099</v>
      </c>
      <c r="I540" s="2"/>
      <c r="J540" s="2">
        <v>1</v>
      </c>
      <c r="K540" s="2"/>
      <c r="L540" s="3">
        <v>31.85</v>
      </c>
      <c r="M540" s="3">
        <v>3.18</v>
      </c>
      <c r="N540" s="3">
        <v>1.83</v>
      </c>
      <c r="O540" s="3"/>
      <c r="P540" s="3">
        <v>2.87</v>
      </c>
      <c r="Q540" s="6">
        <f t="shared" ref="Q540" si="1225">+L540-M540-N540+P540</f>
        <v>29.710000000000004</v>
      </c>
      <c r="R540" s="3"/>
      <c r="S540" s="3">
        <v>18.989999999999998</v>
      </c>
      <c r="T540" s="3">
        <v>0.8</v>
      </c>
      <c r="U540" s="3"/>
      <c r="V540" s="3"/>
      <c r="W540" s="3"/>
      <c r="X540" s="2">
        <f t="shared" ref="X540" si="1226">+S540+T540++U540+V540-W540</f>
        <v>19.79</v>
      </c>
      <c r="Y540" s="6">
        <f t="shared" ref="Y540" si="1227">+Q540-X540</f>
        <v>9.9200000000000053</v>
      </c>
      <c r="Z540" s="2"/>
      <c r="AA540" s="2"/>
      <c r="AB540" s="2"/>
      <c r="AC540" s="3"/>
      <c r="AD540" s="2"/>
      <c r="AE540" s="2"/>
      <c r="AF540" s="2"/>
      <c r="AG540" s="2"/>
      <c r="AH540" s="2" t="s">
        <v>5098</v>
      </c>
      <c r="AI540" s="2" t="s">
        <v>5097</v>
      </c>
      <c r="AJ540" s="2"/>
      <c r="AK540" s="2"/>
      <c r="AL540" s="2" t="s">
        <v>2926</v>
      </c>
      <c r="AM540" s="16" t="s">
        <v>5588</v>
      </c>
      <c r="AN540" s="2"/>
      <c r="AO540" s="2" t="s">
        <v>5303</v>
      </c>
      <c r="AP540" s="2" t="s">
        <v>4932</v>
      </c>
      <c r="AQ540" s="2"/>
      <c r="AR540" s="16" t="s">
        <v>5304</v>
      </c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</row>
    <row r="541" spans="3:58" ht="17.25" customHeight="1">
      <c r="C541" s="1">
        <v>43979</v>
      </c>
      <c r="E541" s="2" t="s">
        <v>5090</v>
      </c>
      <c r="F541" s="15"/>
      <c r="G541" s="2" t="s">
        <v>5094</v>
      </c>
      <c r="H541" s="2" t="s">
        <v>5093</v>
      </c>
      <c r="I541" s="2"/>
      <c r="J541" s="2">
        <v>1</v>
      </c>
      <c r="K541" s="2"/>
      <c r="L541" s="3">
        <v>32.5</v>
      </c>
      <c r="M541" s="3">
        <v>3.25</v>
      </c>
      <c r="N541" s="3">
        <v>1.82</v>
      </c>
      <c r="O541" s="3"/>
      <c r="P541" s="3">
        <f>1.95-1.95</f>
        <v>0</v>
      </c>
      <c r="Q541" s="6">
        <f t="shared" ref="Q541:Q542" si="1228">+L541-M541-N541+P541</f>
        <v>27.43</v>
      </c>
      <c r="R541" s="3"/>
      <c r="S541" s="3">
        <v>23.4</v>
      </c>
      <c r="T541" s="3">
        <v>1.4</v>
      </c>
      <c r="U541" s="3"/>
      <c r="V541" s="3"/>
      <c r="W541" s="3"/>
      <c r="X541" s="2">
        <f t="shared" ref="X541" si="1229">+S541+T541++U541+V541-W541</f>
        <v>24.799999999999997</v>
      </c>
      <c r="Y541" s="6">
        <f t="shared" ref="Y541" si="1230">+Q541-X541</f>
        <v>2.6300000000000026</v>
      </c>
      <c r="Z541" s="2"/>
      <c r="AA541" s="2"/>
      <c r="AB541" s="2"/>
      <c r="AC541" s="3"/>
      <c r="AD541" s="2"/>
      <c r="AE541" s="2"/>
      <c r="AF541" s="2"/>
      <c r="AG541" s="2"/>
      <c r="AH541" s="2" t="s">
        <v>5096</v>
      </c>
      <c r="AI541" s="2" t="s">
        <v>5095</v>
      </c>
      <c r="AJ541" s="2"/>
      <c r="AK541" s="2"/>
      <c r="AL541" s="2" t="s">
        <v>4571</v>
      </c>
      <c r="AM541" s="16" t="s">
        <v>5337</v>
      </c>
      <c r="AN541" s="2"/>
      <c r="AO541" s="2" t="s">
        <v>5312</v>
      </c>
      <c r="AP541" s="16" t="s">
        <v>5313</v>
      </c>
      <c r="AQ541" s="16"/>
      <c r="AR541" s="16" t="s">
        <v>4647</v>
      </c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</row>
    <row r="542" spans="3:58" ht="17.25" customHeight="1">
      <c r="C542" s="1">
        <v>43979</v>
      </c>
      <c r="E542" s="2" t="s">
        <v>4505</v>
      </c>
      <c r="F542" s="15"/>
      <c r="G542" s="2" t="s">
        <v>5467</v>
      </c>
      <c r="H542" s="2" t="s">
        <v>5089</v>
      </c>
      <c r="I542" s="2"/>
      <c r="J542" s="2">
        <v>1</v>
      </c>
      <c r="K542" s="2"/>
      <c r="L542" s="3">
        <v>31.85</v>
      </c>
      <c r="M542" s="3">
        <v>3.18</v>
      </c>
      <c r="N542" s="3">
        <v>1.8</v>
      </c>
      <c r="O542" s="3"/>
      <c r="P542" s="3">
        <v>2.23</v>
      </c>
      <c r="Q542" s="6">
        <f t="shared" si="1228"/>
        <v>29.1</v>
      </c>
      <c r="R542" s="3"/>
      <c r="S542" s="3">
        <v>18.989999999999998</v>
      </c>
      <c r="T542" s="3">
        <v>1.33</v>
      </c>
      <c r="U542" s="3"/>
      <c r="V542" s="3"/>
      <c r="W542" s="3"/>
      <c r="X542" s="2">
        <f t="shared" ref="X542" si="1231">+S542+T542++U542+V542-W542</f>
        <v>20.32</v>
      </c>
      <c r="Y542" s="6">
        <f t="shared" ref="Y542" si="1232">+Q542-X542</f>
        <v>8.7800000000000011</v>
      </c>
      <c r="Z542" s="2"/>
      <c r="AA542" s="2"/>
      <c r="AB542" s="2"/>
      <c r="AC542" s="3"/>
      <c r="AD542" s="2"/>
      <c r="AE542" s="2"/>
      <c r="AF542" s="2"/>
      <c r="AG542" s="2"/>
      <c r="AH542" s="2" t="s">
        <v>5076</v>
      </c>
      <c r="AI542" s="2" t="s">
        <v>5075</v>
      </c>
      <c r="AJ542" s="2"/>
      <c r="AK542" s="2"/>
      <c r="AL542" s="2" t="s">
        <v>5426</v>
      </c>
      <c r="AM542" s="2" t="s">
        <v>5466</v>
      </c>
      <c r="AN542" s="2"/>
      <c r="AO542" s="2" t="s">
        <v>5302</v>
      </c>
      <c r="AP542" s="2" t="s">
        <v>4932</v>
      </c>
      <c r="AQ542" s="2"/>
      <c r="AR542" s="16" t="s">
        <v>5275</v>
      </c>
      <c r="AS542" s="16" t="s">
        <v>5369</v>
      </c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</row>
    <row r="543" spans="3:58" ht="17.25" customHeight="1">
      <c r="C543" s="1">
        <v>43979</v>
      </c>
      <c r="E543" s="2" t="s">
        <v>4951</v>
      </c>
      <c r="F543" s="15"/>
      <c r="G543" s="2" t="s">
        <v>5084</v>
      </c>
      <c r="H543" s="2" t="s">
        <v>5083</v>
      </c>
      <c r="I543" s="2"/>
      <c r="J543" s="2">
        <v>1</v>
      </c>
      <c r="K543" s="2"/>
      <c r="L543" s="3">
        <v>41.7</v>
      </c>
      <c r="M543" s="3">
        <v>4.17</v>
      </c>
      <c r="N543" s="3">
        <v>2.2400000000000002</v>
      </c>
      <c r="O543" s="3">
        <v>0</v>
      </c>
      <c r="P543" s="3">
        <f>2.5-2.5</f>
        <v>0</v>
      </c>
      <c r="Q543" s="6">
        <f t="shared" ref="Q543:Q544" si="1233">+L543-M543-N543+P543</f>
        <v>35.29</v>
      </c>
      <c r="R543" s="3"/>
      <c r="S543" s="3">
        <v>28.13</v>
      </c>
      <c r="T543" s="3">
        <v>1.69</v>
      </c>
      <c r="U543" s="3"/>
      <c r="V543" s="3"/>
      <c r="W543" s="3"/>
      <c r="X543" s="2">
        <f t="shared" ref="X543:X544" si="1234">+S543+T543++U543+V543-W543</f>
        <v>29.82</v>
      </c>
      <c r="Y543" s="6">
        <f t="shared" ref="Y543:Y544" si="1235">+Q543-X543</f>
        <v>5.4699999999999989</v>
      </c>
      <c r="Z543" s="2"/>
      <c r="AA543" s="2"/>
      <c r="AB543" s="2"/>
      <c r="AC543" s="3"/>
      <c r="AD543" s="2"/>
      <c r="AE543" s="2"/>
      <c r="AF543" s="2"/>
      <c r="AG543" s="2"/>
      <c r="AH543" s="2" t="s">
        <v>5086</v>
      </c>
      <c r="AI543" s="2" t="s">
        <v>5085</v>
      </c>
      <c r="AJ543" s="2"/>
      <c r="AK543" s="2"/>
      <c r="AL543" s="2" t="s">
        <v>4911</v>
      </c>
      <c r="AM543" s="2" t="s">
        <v>5187</v>
      </c>
      <c r="AN543" s="2"/>
      <c r="AO543" s="2" t="s">
        <v>5139</v>
      </c>
      <c r="AP543" s="2" t="s">
        <v>5138</v>
      </c>
      <c r="AQ543" s="2"/>
      <c r="AR543" s="16" t="s">
        <v>4838</v>
      </c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</row>
    <row r="544" spans="3:58" ht="17.25" customHeight="1">
      <c r="C544" s="1">
        <v>43979</v>
      </c>
      <c r="E544" s="2" t="s">
        <v>7</v>
      </c>
      <c r="F544" s="15"/>
      <c r="G544" s="2" t="s">
        <v>5088</v>
      </c>
      <c r="H544" s="2" t="s">
        <v>5087</v>
      </c>
      <c r="I544" s="2"/>
      <c r="J544" s="2">
        <v>1</v>
      </c>
      <c r="K544" s="2"/>
      <c r="L544" s="3">
        <v>31.5</v>
      </c>
      <c r="M544" s="3">
        <v>3.15</v>
      </c>
      <c r="N544" s="3">
        <v>1.77</v>
      </c>
      <c r="O544" s="3"/>
      <c r="P544" s="3">
        <f>1.61-1.61</f>
        <v>0</v>
      </c>
      <c r="Q544" s="6">
        <f t="shared" si="1233"/>
        <v>26.580000000000002</v>
      </c>
      <c r="R544" s="3"/>
      <c r="S544" s="3">
        <v>18.89</v>
      </c>
      <c r="T544" s="3">
        <v>1.18</v>
      </c>
      <c r="U544" s="3">
        <v>0</v>
      </c>
      <c r="V544" s="3"/>
      <c r="W544" s="3"/>
      <c r="X544" s="2">
        <f t="shared" si="1234"/>
        <v>20.07</v>
      </c>
      <c r="Y544" s="6">
        <f t="shared" si="1235"/>
        <v>6.5100000000000016</v>
      </c>
      <c r="Z544" s="2"/>
      <c r="AA544" s="2"/>
      <c r="AB544" s="2"/>
      <c r="AC544" s="3"/>
      <c r="AD544" s="2"/>
      <c r="AE544" s="2"/>
      <c r="AF544" s="2"/>
      <c r="AG544" s="2"/>
      <c r="AH544" s="2" t="s">
        <v>5092</v>
      </c>
      <c r="AI544" s="2" t="s">
        <v>5091</v>
      </c>
      <c r="AJ544" s="2"/>
      <c r="AK544" s="2"/>
      <c r="AL544" s="2" t="s">
        <v>4612</v>
      </c>
      <c r="AM544" s="16" t="s">
        <v>5168</v>
      </c>
      <c r="AN544" s="2"/>
      <c r="AO544" s="2" t="s">
        <v>5140</v>
      </c>
      <c r="AP544" s="2" t="s">
        <v>4643</v>
      </c>
      <c r="AQ544" s="2"/>
      <c r="AR544" s="16" t="s">
        <v>5141</v>
      </c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</row>
    <row r="545" spans="3:58" ht="17.25" customHeight="1">
      <c r="C545" s="1">
        <v>43979</v>
      </c>
      <c r="E545" s="2" t="s">
        <v>1952</v>
      </c>
      <c r="F545" s="15"/>
      <c r="G545" s="2" t="s">
        <v>5066</v>
      </c>
      <c r="H545" s="2" t="s">
        <v>5065</v>
      </c>
      <c r="I545" s="2"/>
      <c r="J545" s="2">
        <v>1</v>
      </c>
      <c r="K545" s="2"/>
      <c r="L545" s="3">
        <v>18.95</v>
      </c>
      <c r="M545" s="3">
        <v>1.89</v>
      </c>
      <c r="N545" s="3">
        <v>1.21</v>
      </c>
      <c r="O545" s="3"/>
      <c r="P545" s="3">
        <f>1.68-1.68</f>
        <v>0</v>
      </c>
      <c r="Q545" s="6">
        <f t="shared" ref="Q545" si="1236">+L545-M545-N545+P545</f>
        <v>15.849999999999998</v>
      </c>
      <c r="R545" s="3"/>
      <c r="S545" s="3">
        <v>12.3</v>
      </c>
      <c r="T545" s="3">
        <v>1.0900000000000001</v>
      </c>
      <c r="U545" s="3"/>
      <c r="V545" s="3"/>
      <c r="W545" s="3">
        <v>0</v>
      </c>
      <c r="X545" s="2">
        <f t="shared" ref="X545" si="1237">+S545+T545++U545+V545-W545</f>
        <v>13.39</v>
      </c>
      <c r="Y545" s="6">
        <f t="shared" ref="Y545" si="1238">+Q545-X545</f>
        <v>2.4599999999999973</v>
      </c>
      <c r="Z545" s="2"/>
      <c r="AA545" s="2"/>
      <c r="AB545" s="2"/>
      <c r="AC545" s="3"/>
      <c r="AD545" s="2"/>
      <c r="AE545" s="2"/>
      <c r="AF545" s="2"/>
      <c r="AG545" s="2"/>
      <c r="AH545" s="2" t="s">
        <v>5068</v>
      </c>
      <c r="AI545" s="2" t="s">
        <v>5067</v>
      </c>
      <c r="AJ545" s="2"/>
      <c r="AK545" s="2"/>
      <c r="AL545" s="2" t="s">
        <v>4571</v>
      </c>
      <c r="AM545" s="16" t="s">
        <v>5286</v>
      </c>
      <c r="AN545" s="2"/>
      <c r="AO545" s="2" t="s">
        <v>5285</v>
      </c>
      <c r="AP545" s="2" t="s">
        <v>3914</v>
      </c>
      <c r="AQ545" s="2"/>
      <c r="AR545" s="16" t="s">
        <v>5048</v>
      </c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</row>
    <row r="546" spans="3:58" ht="17.25" customHeight="1">
      <c r="C546" s="1">
        <v>43979</v>
      </c>
      <c r="E546" s="2" t="s">
        <v>4505</v>
      </c>
      <c r="F546" s="15"/>
      <c r="G546" s="2" t="s">
        <v>5074</v>
      </c>
      <c r="H546" s="2" t="s">
        <v>5073</v>
      </c>
      <c r="I546" s="2"/>
      <c r="J546" s="2">
        <v>1</v>
      </c>
      <c r="K546" s="2"/>
      <c r="L546" s="3">
        <v>31.85</v>
      </c>
      <c r="M546" s="3">
        <v>3.18</v>
      </c>
      <c r="N546" s="3">
        <v>1.8</v>
      </c>
      <c r="O546" s="3"/>
      <c r="P546" s="3">
        <f>2.11-2.11</f>
        <v>0</v>
      </c>
      <c r="Q546" s="6">
        <f t="shared" ref="Q546:Q547" si="1239">+L546-M546-N546+P546</f>
        <v>26.87</v>
      </c>
      <c r="R546" s="3"/>
      <c r="S546" s="3">
        <v>18.989999999999998</v>
      </c>
      <c r="T546" s="3">
        <v>1.26</v>
      </c>
      <c r="U546" s="3"/>
      <c r="V546" s="3"/>
      <c r="W546" s="3"/>
      <c r="X546" s="2">
        <f t="shared" ref="X546:X547" si="1240">+S546+T546++U546+V546-W546</f>
        <v>20.25</v>
      </c>
      <c r="Y546" s="6">
        <f t="shared" ref="Y546:Y547" si="1241">+Q546-X546</f>
        <v>6.620000000000001</v>
      </c>
      <c r="Z546" s="2"/>
      <c r="AA546" s="2"/>
      <c r="AB546" s="2"/>
      <c r="AC546" s="3"/>
      <c r="AD546" s="2"/>
      <c r="AE546" s="2"/>
      <c r="AF546" s="2"/>
      <c r="AG546" s="2"/>
      <c r="AH546" s="2" t="s">
        <v>5076</v>
      </c>
      <c r="AI546" s="2" t="s">
        <v>5075</v>
      </c>
      <c r="AJ546" s="2"/>
      <c r="AK546" s="2"/>
      <c r="AL546" s="2" t="s">
        <v>2926</v>
      </c>
      <c r="AM546" s="16" t="s">
        <v>5462</v>
      </c>
      <c r="AN546" s="2"/>
      <c r="AO546" s="2" t="s">
        <v>5295</v>
      </c>
      <c r="AP546" s="2" t="s">
        <v>4932</v>
      </c>
      <c r="AQ546" s="2"/>
      <c r="AR546" s="16" t="s">
        <v>5296</v>
      </c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</row>
    <row r="547" spans="3:58" ht="17.25" customHeight="1">
      <c r="C547" s="1">
        <v>43979</v>
      </c>
      <c r="E547" s="2" t="s">
        <v>1952</v>
      </c>
      <c r="F547" s="15"/>
      <c r="G547" s="2" t="s">
        <v>5070</v>
      </c>
      <c r="H547" s="2" t="s">
        <v>5069</v>
      </c>
      <c r="I547" s="2"/>
      <c r="J547" s="2">
        <v>1</v>
      </c>
      <c r="K547" s="2"/>
      <c r="L547" s="3">
        <v>18.95</v>
      </c>
      <c r="M547" s="3">
        <v>1.89</v>
      </c>
      <c r="N547" s="3">
        <v>1.19</v>
      </c>
      <c r="O547" s="3"/>
      <c r="P547" s="3">
        <f>1.28-1.28</f>
        <v>0</v>
      </c>
      <c r="Q547" s="6">
        <f t="shared" si="1239"/>
        <v>15.87</v>
      </c>
      <c r="R547" s="3"/>
      <c r="S547" s="3">
        <v>12.3</v>
      </c>
      <c r="T547" s="3">
        <v>0.83</v>
      </c>
      <c r="U547" s="3"/>
      <c r="V547" s="3"/>
      <c r="W547" s="3">
        <v>1.23</v>
      </c>
      <c r="X547" s="2">
        <f t="shared" si="1240"/>
        <v>11.9</v>
      </c>
      <c r="Y547" s="6">
        <f t="shared" si="1241"/>
        <v>3.9699999999999989</v>
      </c>
      <c r="Z547" s="2"/>
      <c r="AA547" s="2"/>
      <c r="AB547" s="2"/>
      <c r="AC547" s="3"/>
      <c r="AD547" s="2"/>
      <c r="AE547" s="2"/>
      <c r="AF547" s="2"/>
      <c r="AG547" s="2"/>
      <c r="AH547" s="2" t="s">
        <v>5072</v>
      </c>
      <c r="AI547" s="2" t="s">
        <v>5071</v>
      </c>
      <c r="AJ547" s="2"/>
      <c r="AK547" s="2"/>
      <c r="AL547" s="2" t="s">
        <v>4571</v>
      </c>
      <c r="AM547" s="16" t="s">
        <v>5287</v>
      </c>
      <c r="AN547" s="2"/>
      <c r="AO547" s="2" t="s">
        <v>5169</v>
      </c>
      <c r="AP547" s="2" t="s">
        <v>5171</v>
      </c>
      <c r="AQ547" s="2"/>
      <c r="AR547" s="16" t="s">
        <v>5170</v>
      </c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</row>
    <row r="548" spans="3:58" ht="17.25" customHeight="1">
      <c r="C548" s="1">
        <v>43979</v>
      </c>
      <c r="E548" s="2" t="s">
        <v>4951</v>
      </c>
      <c r="F548" s="15"/>
      <c r="G548" s="2" t="s">
        <v>5061</v>
      </c>
      <c r="H548" s="2" t="s">
        <v>5058</v>
      </c>
      <c r="I548" s="2"/>
      <c r="J548" s="2">
        <v>1</v>
      </c>
      <c r="K548" s="2"/>
      <c r="L548" s="3">
        <v>41.7</v>
      </c>
      <c r="M548" s="3">
        <v>4.17</v>
      </c>
      <c r="N548" s="3">
        <v>2.2400000000000002</v>
      </c>
      <c r="O548" s="3">
        <v>0</v>
      </c>
      <c r="P548" s="3">
        <f>2.34-2.34</f>
        <v>0</v>
      </c>
      <c r="Q548" s="6">
        <f t="shared" ref="Q548" si="1242">+L548-M548-N548+P548</f>
        <v>35.29</v>
      </c>
      <c r="R548" s="3"/>
      <c r="S548" s="3">
        <v>28.13</v>
      </c>
      <c r="T548" s="3">
        <v>1.77</v>
      </c>
      <c r="U548" s="3"/>
      <c r="V548" s="3"/>
      <c r="W548" s="3"/>
      <c r="X548" s="2">
        <f t="shared" ref="X548" si="1243">+S548+T548++U548+V548-W548</f>
        <v>29.9</v>
      </c>
      <c r="Y548" s="6">
        <f t="shared" ref="Y548" si="1244">+Q548-X548</f>
        <v>5.3900000000000006</v>
      </c>
      <c r="Z548" s="2"/>
      <c r="AA548" s="2"/>
      <c r="AB548" s="2"/>
      <c r="AC548" s="3"/>
      <c r="AD548" s="2"/>
      <c r="AE548" s="2"/>
      <c r="AF548" s="2"/>
      <c r="AG548" s="2"/>
      <c r="AH548" s="2" t="s">
        <v>5060</v>
      </c>
      <c r="AI548" s="2" t="s">
        <v>5059</v>
      </c>
      <c r="AJ548" s="2"/>
      <c r="AK548" s="2"/>
      <c r="AL548" s="2" t="s">
        <v>4911</v>
      </c>
      <c r="AM548" s="2" t="s">
        <v>5189</v>
      </c>
      <c r="AN548" s="2"/>
      <c r="AO548" s="2" t="s">
        <v>5137</v>
      </c>
      <c r="AP548" s="2" t="s">
        <v>5138</v>
      </c>
      <c r="AQ548" s="2"/>
      <c r="AR548" s="16" t="s">
        <v>4838</v>
      </c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</row>
    <row r="549" spans="3:58" ht="17.25" customHeight="1">
      <c r="C549" s="1">
        <v>43979</v>
      </c>
      <c r="E549" s="2" t="s">
        <v>4505</v>
      </c>
      <c r="F549" s="15"/>
      <c r="G549" s="2" t="s">
        <v>5055</v>
      </c>
      <c r="H549" s="2" t="s">
        <v>5054</v>
      </c>
      <c r="I549" s="2"/>
      <c r="J549" s="2">
        <v>1</v>
      </c>
      <c r="K549" s="2"/>
      <c r="L549" s="3">
        <v>31.85</v>
      </c>
      <c r="M549" s="3">
        <v>3.18</v>
      </c>
      <c r="N549" s="3">
        <v>1.82</v>
      </c>
      <c r="O549" s="3"/>
      <c r="P549" s="3">
        <f>2.63-2.63</f>
        <v>0</v>
      </c>
      <c r="Q549" s="6">
        <f t="shared" ref="Q549" si="1245">+L549-M549-N549+P549</f>
        <v>26.85</v>
      </c>
      <c r="R549" s="3"/>
      <c r="S549" s="3">
        <v>15.99</v>
      </c>
      <c r="T549" s="3">
        <v>1.32</v>
      </c>
      <c r="U549" s="3"/>
      <c r="V549" s="3"/>
      <c r="W549" s="3"/>
      <c r="X549" s="2">
        <f t="shared" ref="X549" si="1246">+S549+T549++U549+V549-W549</f>
        <v>17.309999999999999</v>
      </c>
      <c r="Y549" s="6">
        <f t="shared" ref="Y549" si="1247">+Q549-X549</f>
        <v>9.5400000000000027</v>
      </c>
      <c r="Z549" s="6">
        <f>SUM(Y534:Y549)</f>
        <v>93.010000000000019</v>
      </c>
      <c r="AA549" s="2"/>
      <c r="AB549" s="2"/>
      <c r="AC549" s="3"/>
      <c r="AD549" s="2"/>
      <c r="AE549" s="2"/>
      <c r="AF549" s="2"/>
      <c r="AG549" s="2"/>
      <c r="AH549" s="2" t="s">
        <v>5057</v>
      </c>
      <c r="AI549" s="2" t="s">
        <v>5056</v>
      </c>
      <c r="AJ549" s="2"/>
      <c r="AK549" s="2"/>
      <c r="AL549" s="2" t="s">
        <v>2926</v>
      </c>
      <c r="AM549" s="16" t="s">
        <v>5641</v>
      </c>
      <c r="AN549" s="2"/>
      <c r="AO549" s="36" t="s">
        <v>5274</v>
      </c>
      <c r="AP549" s="2" t="s">
        <v>4932</v>
      </c>
      <c r="AQ549" s="2"/>
      <c r="AR549" s="16" t="s">
        <v>5275</v>
      </c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</row>
    <row r="550" spans="3:58" ht="17.25" customHeight="1">
      <c r="C550" s="1">
        <v>43978</v>
      </c>
      <c r="E550" s="2" t="s">
        <v>7</v>
      </c>
      <c r="F550" s="15"/>
      <c r="G550" s="2" t="s">
        <v>5034</v>
      </c>
      <c r="H550" s="2" t="s">
        <v>5033</v>
      </c>
      <c r="I550" s="2"/>
      <c r="J550" s="2">
        <v>1</v>
      </c>
      <c r="K550" s="2"/>
      <c r="L550" s="3">
        <v>31.5</v>
      </c>
      <c r="M550" s="3">
        <v>3.15</v>
      </c>
      <c r="N550" s="3">
        <v>1.76</v>
      </c>
      <c r="O550" s="3"/>
      <c r="P550" s="3">
        <f>1.61-1.61</f>
        <v>0</v>
      </c>
      <c r="Q550" s="6">
        <f t="shared" ref="Q550" si="1248">+L550-M550-N550+P550</f>
        <v>26.59</v>
      </c>
      <c r="R550" s="3"/>
      <c r="S550" s="3">
        <v>18.98</v>
      </c>
      <c r="T550" s="3">
        <v>0.92</v>
      </c>
      <c r="U550" s="3">
        <v>0</v>
      </c>
      <c r="V550" s="3"/>
      <c r="W550" s="3"/>
      <c r="X550" s="2">
        <f t="shared" ref="X550" si="1249">+S550+T550++U550+V550-W550</f>
        <v>19.900000000000002</v>
      </c>
      <c r="Y550" s="6">
        <f t="shared" ref="Y550" si="1250">+Q550-X550</f>
        <v>6.6899999999999977</v>
      </c>
      <c r="Z550" s="6" t="s">
        <v>4579</v>
      </c>
      <c r="AA550" s="2"/>
      <c r="AB550" s="2"/>
      <c r="AC550" s="3"/>
      <c r="AD550" s="2"/>
      <c r="AE550" s="2"/>
      <c r="AF550" s="2"/>
      <c r="AG550" s="2"/>
      <c r="AH550" s="2" t="s">
        <v>5036</v>
      </c>
      <c r="AI550" s="2" t="s">
        <v>5035</v>
      </c>
      <c r="AJ550" s="2"/>
      <c r="AK550" s="2"/>
      <c r="AL550" s="2" t="s">
        <v>4612</v>
      </c>
      <c r="AM550" s="16" t="s">
        <v>5082</v>
      </c>
      <c r="AN550" s="2"/>
      <c r="AO550" s="2" t="s">
        <v>5049</v>
      </c>
      <c r="AP550" s="2" t="s">
        <v>4643</v>
      </c>
      <c r="AQ550" s="2"/>
      <c r="AR550" s="16" t="s">
        <v>5048</v>
      </c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</row>
    <row r="551" spans="3:58" ht="17.25" customHeight="1">
      <c r="C551" s="1">
        <v>43978</v>
      </c>
      <c r="E551" s="2" t="s">
        <v>4896</v>
      </c>
      <c r="F551" s="15"/>
      <c r="G551" s="2" t="s">
        <v>5032</v>
      </c>
      <c r="H551" s="2" t="s">
        <v>5042</v>
      </c>
      <c r="I551" s="2"/>
      <c r="J551" s="2">
        <v>0</v>
      </c>
      <c r="K551" s="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2"/>
      <c r="AA551" s="2"/>
      <c r="AB551" s="2"/>
      <c r="AC551" s="3"/>
      <c r="AD551" s="2"/>
      <c r="AE551" s="2"/>
      <c r="AF551" s="2"/>
      <c r="AG551" s="2"/>
      <c r="AH551" s="5" t="s">
        <v>4625</v>
      </c>
      <c r="AI551" s="5" t="s">
        <v>4625</v>
      </c>
      <c r="AJ551" s="2"/>
      <c r="AK551" s="2"/>
      <c r="AL551" s="2"/>
      <c r="AM551" s="2"/>
      <c r="AN551" s="2"/>
      <c r="AO551" s="5" t="s">
        <v>4625</v>
      </c>
      <c r="AP551" s="5" t="s">
        <v>4625</v>
      </c>
      <c r="AQ551" s="5"/>
      <c r="AR551" s="2"/>
      <c r="AS551" s="2"/>
      <c r="AT551" s="2"/>
      <c r="AU551" s="2" t="s">
        <v>5208</v>
      </c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</row>
    <row r="552" spans="3:58" ht="17.25" customHeight="1">
      <c r="C552" s="1">
        <v>43978</v>
      </c>
      <c r="E552" s="2" t="s">
        <v>1305</v>
      </c>
      <c r="F552" s="15"/>
      <c r="G552" s="2" t="s">
        <v>5023</v>
      </c>
      <c r="H552" s="2" t="s">
        <v>5022</v>
      </c>
      <c r="I552" s="2"/>
      <c r="J552" s="2">
        <v>1</v>
      </c>
      <c r="K552" s="2"/>
      <c r="L552" s="3">
        <v>28.95</v>
      </c>
      <c r="M552" s="3">
        <v>2.89</v>
      </c>
      <c r="N552" s="3">
        <v>1.69</v>
      </c>
      <c r="O552" s="3"/>
      <c r="P552" s="3">
        <f>2.68-2.68</f>
        <v>0</v>
      </c>
      <c r="Q552" s="6">
        <f t="shared" ref="Q552:Q553" si="1251">+L552-M552-N552+P552</f>
        <v>24.369999999999997</v>
      </c>
      <c r="R552" s="3"/>
      <c r="S552" s="3">
        <v>18.600000000000001</v>
      </c>
      <c r="T552" s="3">
        <v>1.72</v>
      </c>
      <c r="U552" s="3"/>
      <c r="V552" s="3"/>
      <c r="W552" s="3"/>
      <c r="X552" s="2">
        <f t="shared" ref="X552" si="1252">+S552+T552++U552+V552-W552</f>
        <v>20.32</v>
      </c>
      <c r="Y552" s="6">
        <f t="shared" ref="Y552" si="1253">+Q552-X552</f>
        <v>4.0499999999999972</v>
      </c>
      <c r="Z552" s="2"/>
      <c r="AA552" s="2"/>
      <c r="AB552" s="2"/>
      <c r="AC552" s="3"/>
      <c r="AD552" s="2"/>
      <c r="AE552" s="2"/>
      <c r="AF552" s="2"/>
      <c r="AG552" s="2"/>
      <c r="AH552" s="2" t="s">
        <v>5025</v>
      </c>
      <c r="AI552" s="2" t="s">
        <v>5024</v>
      </c>
      <c r="AJ552" s="2"/>
      <c r="AK552" s="2"/>
      <c r="AL552" s="2" t="s">
        <v>2926</v>
      </c>
      <c r="AM552" s="16" t="s">
        <v>5424</v>
      </c>
      <c r="AN552" s="2"/>
      <c r="AO552" s="2" t="s">
        <v>5026</v>
      </c>
      <c r="AP552" s="2" t="s">
        <v>4656</v>
      </c>
      <c r="AQ552" s="2"/>
      <c r="AR552" s="16" t="s">
        <v>5027</v>
      </c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</row>
    <row r="553" spans="3:58" ht="17.25" customHeight="1">
      <c r="C553" s="1">
        <v>43978</v>
      </c>
      <c r="E553" s="2" t="s">
        <v>4896</v>
      </c>
      <c r="F553" s="15"/>
      <c r="G553" s="2" t="s">
        <v>5019</v>
      </c>
      <c r="H553" s="2" t="s">
        <v>5030</v>
      </c>
      <c r="I553" s="2"/>
      <c r="J553" s="2">
        <v>1</v>
      </c>
      <c r="K553" s="2"/>
      <c r="L553" s="3">
        <v>29.35</v>
      </c>
      <c r="M553" s="3">
        <v>2.93</v>
      </c>
      <c r="N553" s="3">
        <v>1.68</v>
      </c>
      <c r="O553" s="3"/>
      <c r="P553" s="3">
        <f>2.05-2.05</f>
        <v>0</v>
      </c>
      <c r="Q553" s="6">
        <f t="shared" si="1251"/>
        <v>24.740000000000002</v>
      </c>
      <c r="R553" s="3"/>
      <c r="S553" s="3">
        <v>14.98</v>
      </c>
      <c r="T553" s="3">
        <v>1.05</v>
      </c>
      <c r="U553" s="3">
        <v>0</v>
      </c>
      <c r="V553" s="3"/>
      <c r="W553" s="3">
        <v>0</v>
      </c>
      <c r="X553" s="2">
        <f t="shared" ref="X553" si="1254">+S553+T553++U553+V553-W553</f>
        <v>16.03</v>
      </c>
      <c r="Y553" s="6">
        <f t="shared" ref="Y553" si="1255">+Q553-X553</f>
        <v>8.7100000000000009</v>
      </c>
      <c r="Z553" s="2"/>
      <c r="AA553" s="2"/>
      <c r="AB553" s="2"/>
      <c r="AC553" s="3"/>
      <c r="AD553" s="2"/>
      <c r="AE553" s="2"/>
      <c r="AF553" s="2"/>
      <c r="AG553" s="2"/>
      <c r="AH553" s="2" t="s">
        <v>5021</v>
      </c>
      <c r="AI553" s="2" t="s">
        <v>5020</v>
      </c>
      <c r="AJ553" s="2"/>
      <c r="AK553" s="2"/>
      <c r="AL553" s="2" t="s">
        <v>2926</v>
      </c>
      <c r="AM553" s="16" t="s">
        <v>5190</v>
      </c>
      <c r="AN553" s="2"/>
      <c r="AO553" s="2" t="s">
        <v>5050</v>
      </c>
      <c r="AP553" s="2" t="s">
        <v>4656</v>
      </c>
      <c r="AQ553" s="2"/>
      <c r="AR553" s="16" t="s">
        <v>4798</v>
      </c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</row>
    <row r="554" spans="3:58" ht="17.25" customHeight="1">
      <c r="C554" s="1">
        <v>43978</v>
      </c>
      <c r="E554" s="2" t="s">
        <v>7</v>
      </c>
      <c r="F554" s="15"/>
      <c r="G554" s="2" t="s">
        <v>5002</v>
      </c>
      <c r="H554" s="2" t="s">
        <v>5001</v>
      </c>
      <c r="I554" s="2"/>
      <c r="J554" s="2">
        <v>1</v>
      </c>
      <c r="K554" s="2"/>
      <c r="L554" s="3">
        <v>31.5</v>
      </c>
      <c r="M554" s="3">
        <v>3.15</v>
      </c>
      <c r="N554" s="3">
        <v>1.78</v>
      </c>
      <c r="O554" s="3"/>
      <c r="P554" s="3">
        <v>2.21</v>
      </c>
      <c r="Q554" s="6">
        <f t="shared" ref="Q554" si="1256">+L554-M554-N554+P554</f>
        <v>28.78</v>
      </c>
      <c r="R554" s="3"/>
      <c r="S554" s="3">
        <v>18.89</v>
      </c>
      <c r="T554" s="3">
        <v>1.23</v>
      </c>
      <c r="U554" s="3">
        <v>0</v>
      </c>
      <c r="V554" s="3"/>
      <c r="W554" s="3"/>
      <c r="X554" s="2">
        <f t="shared" ref="X554" si="1257">+S554+T554++U554+V554-W554</f>
        <v>20.12</v>
      </c>
      <c r="Y554" s="6">
        <f t="shared" ref="Y554" si="1258">+Q554-X554</f>
        <v>8.66</v>
      </c>
      <c r="Z554" s="2"/>
      <c r="AA554" s="2"/>
      <c r="AB554" s="2"/>
      <c r="AC554" s="3"/>
      <c r="AD554" s="2"/>
      <c r="AE554" s="2"/>
      <c r="AF554" s="2"/>
      <c r="AG554" s="2"/>
      <c r="AH554" s="2" t="s">
        <v>5004</v>
      </c>
      <c r="AI554" s="2" t="s">
        <v>5003</v>
      </c>
      <c r="AJ554" s="2"/>
      <c r="AK554" s="2"/>
      <c r="AL554" s="2" t="s">
        <v>4612</v>
      </c>
      <c r="AM554" s="16" t="s">
        <v>5081</v>
      </c>
      <c r="AN554" s="2"/>
      <c r="AO554" s="2" t="s">
        <v>5047</v>
      </c>
      <c r="AP554" s="2" t="s">
        <v>4643</v>
      </c>
      <c r="AQ554" s="2"/>
      <c r="AR554" s="16" t="s">
        <v>5048</v>
      </c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</row>
    <row r="555" spans="3:58" ht="17.25" customHeight="1">
      <c r="C555" s="1">
        <v>43978</v>
      </c>
      <c r="E555" s="2" t="s">
        <v>4997</v>
      </c>
      <c r="F555" s="15"/>
      <c r="G555" s="2" t="s">
        <v>4998</v>
      </c>
      <c r="H555" s="2" t="s">
        <v>5028</v>
      </c>
      <c r="I555" s="2"/>
      <c r="J555" s="2">
        <v>0</v>
      </c>
      <c r="K555" s="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 t="s">
        <v>4579</v>
      </c>
      <c r="Y555" s="3"/>
      <c r="Z555" s="6" t="s">
        <v>4579</v>
      </c>
      <c r="AA555" s="2"/>
      <c r="AB555" s="2"/>
      <c r="AC555" s="3"/>
      <c r="AD555" s="2"/>
      <c r="AE555" s="2"/>
      <c r="AF555" s="2"/>
      <c r="AG555" s="2"/>
      <c r="AH555" s="5" t="s">
        <v>4742</v>
      </c>
      <c r="AI555" s="5" t="s">
        <v>4742</v>
      </c>
      <c r="AJ555" s="2"/>
      <c r="AK555" s="2"/>
      <c r="AL555" s="2"/>
      <c r="AM555" s="2"/>
      <c r="AN555" s="2"/>
      <c r="AO555" s="5" t="s">
        <v>4742</v>
      </c>
      <c r="AP555" s="5" t="s">
        <v>4742</v>
      </c>
      <c r="AQ555" s="5"/>
      <c r="AR555" s="2"/>
      <c r="AS555" s="2"/>
      <c r="AT555" s="2"/>
      <c r="AU555" s="2" t="s">
        <v>5207</v>
      </c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</row>
    <row r="556" spans="3:58" ht="17.25" customHeight="1">
      <c r="C556" s="1">
        <v>43978</v>
      </c>
      <c r="E556" s="2" t="s">
        <v>4764</v>
      </c>
      <c r="F556" s="15"/>
      <c r="G556" s="2" t="s">
        <v>4985</v>
      </c>
      <c r="H556" s="2" t="s">
        <v>4984</v>
      </c>
      <c r="I556" s="2"/>
      <c r="J556" s="2">
        <v>1</v>
      </c>
      <c r="K556" s="2"/>
      <c r="L556" s="3">
        <v>22.95</v>
      </c>
      <c r="M556" s="3">
        <v>2.29</v>
      </c>
      <c r="N556" s="3">
        <v>1.47</v>
      </c>
      <c r="O556" s="3"/>
      <c r="P556" s="3">
        <f>1.38-1.38</f>
        <v>0</v>
      </c>
      <c r="Q556" s="6">
        <f t="shared" ref="Q556:Q558" si="1259">+L556-M556-N556+P556</f>
        <v>19.190000000000001</v>
      </c>
      <c r="R556" s="3"/>
      <c r="S556" s="3">
        <v>11.95</v>
      </c>
      <c r="T556" s="3">
        <v>0.72</v>
      </c>
      <c r="U556" s="3"/>
      <c r="V556" s="3"/>
      <c r="W556" s="3"/>
      <c r="X556" s="3">
        <f t="shared" ref="X556:X558" si="1260">+S556+T556++U556+V556-W556</f>
        <v>12.67</v>
      </c>
      <c r="Y556" s="6">
        <f t="shared" ref="Y556:Y558" si="1261">+Q556-X556</f>
        <v>6.5200000000000014</v>
      </c>
      <c r="Z556" s="2"/>
      <c r="AA556" s="2"/>
      <c r="AB556" s="2"/>
      <c r="AC556" s="3"/>
      <c r="AD556" s="2"/>
      <c r="AE556" s="2"/>
      <c r="AF556" s="2"/>
      <c r="AG556" s="2"/>
      <c r="AH556" s="2" t="s">
        <v>4992</v>
      </c>
      <c r="AI556" s="2" t="s">
        <v>4991</v>
      </c>
      <c r="AJ556" s="2"/>
      <c r="AK556" s="2"/>
      <c r="AL556" s="2" t="s">
        <v>5426</v>
      </c>
      <c r="AM556" s="2" t="s">
        <v>5425</v>
      </c>
      <c r="AN556" s="2"/>
      <c r="AO556" s="2" t="s">
        <v>5045</v>
      </c>
      <c r="AP556" s="2" t="s">
        <v>5415</v>
      </c>
      <c r="AQ556" s="2"/>
      <c r="AR556" s="16" t="s">
        <v>5046</v>
      </c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</row>
    <row r="557" spans="3:58" ht="17.25" customHeight="1">
      <c r="C557" s="1">
        <v>43978</v>
      </c>
      <c r="E557" s="2" t="s">
        <v>4764</v>
      </c>
      <c r="F557" s="15"/>
      <c r="G557" s="2" t="s">
        <v>4983</v>
      </c>
      <c r="H557" s="2" t="s">
        <v>4982</v>
      </c>
      <c r="I557" s="2"/>
      <c r="J557" s="2">
        <v>1</v>
      </c>
      <c r="K557" s="2"/>
      <c r="L557" s="3">
        <v>22.95</v>
      </c>
      <c r="M557" s="3">
        <v>2.29</v>
      </c>
      <c r="N557" s="3">
        <v>1.38</v>
      </c>
      <c r="O557" s="3"/>
      <c r="P557" s="3">
        <f>1.44-1.44</f>
        <v>0</v>
      </c>
      <c r="Q557" s="6">
        <f t="shared" si="1259"/>
        <v>19.28</v>
      </c>
      <c r="R557" s="3"/>
      <c r="S557" s="3">
        <v>11.95</v>
      </c>
      <c r="T557" s="3">
        <v>0.86</v>
      </c>
      <c r="U557" s="3"/>
      <c r="V557" s="3"/>
      <c r="W557" s="3"/>
      <c r="X557" s="3">
        <f t="shared" si="1260"/>
        <v>12.809999999999999</v>
      </c>
      <c r="Y557" s="6">
        <f t="shared" si="1261"/>
        <v>6.4700000000000024</v>
      </c>
      <c r="Z557" s="2"/>
      <c r="AA557" s="2"/>
      <c r="AB557" s="2"/>
      <c r="AC557" s="3"/>
      <c r="AD557" s="2"/>
      <c r="AE557" s="2"/>
      <c r="AF557" s="2"/>
      <c r="AG557" s="2"/>
      <c r="AH557" s="2" t="s">
        <v>4990</v>
      </c>
      <c r="AI557" s="2" t="s">
        <v>4989</v>
      </c>
      <c r="AJ557" s="2"/>
      <c r="AK557" s="2"/>
      <c r="AL557" s="2" t="s">
        <v>4571</v>
      </c>
      <c r="AM557" s="16" t="s">
        <v>5197</v>
      </c>
      <c r="AN557" s="2"/>
      <c r="AO557" s="2" t="s">
        <v>5043</v>
      </c>
      <c r="AP557" s="2" t="s">
        <v>4932</v>
      </c>
      <c r="AQ557" s="2"/>
      <c r="AR557" s="16" t="s">
        <v>5044</v>
      </c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</row>
    <row r="558" spans="3:58" ht="17.25" customHeight="1">
      <c r="C558" s="1">
        <v>43978</v>
      </c>
      <c r="E558" s="2" t="s">
        <v>7</v>
      </c>
      <c r="F558" s="15"/>
      <c r="G558" s="2" t="s">
        <v>4986</v>
      </c>
      <c r="H558" s="2" t="s">
        <v>5018</v>
      </c>
      <c r="I558" s="2"/>
      <c r="J558" s="2">
        <v>0</v>
      </c>
      <c r="K558" s="2"/>
      <c r="L558" s="3">
        <v>0</v>
      </c>
      <c r="M558" s="3">
        <v>0</v>
      </c>
      <c r="N558" s="3">
        <v>0</v>
      </c>
      <c r="O558" s="3"/>
      <c r="P558" s="3">
        <f>1.89-1.89</f>
        <v>0</v>
      </c>
      <c r="Q558" s="6">
        <f t="shared" si="1259"/>
        <v>0</v>
      </c>
      <c r="R558" s="3"/>
      <c r="S558" s="3">
        <v>0</v>
      </c>
      <c r="T558" s="3">
        <v>0</v>
      </c>
      <c r="U558" s="3">
        <v>0</v>
      </c>
      <c r="V558" s="3"/>
      <c r="W558" s="3"/>
      <c r="X558" s="3">
        <f t="shared" si="1260"/>
        <v>0</v>
      </c>
      <c r="Y558" s="6">
        <f t="shared" si="1261"/>
        <v>0</v>
      </c>
      <c r="Z558" s="6">
        <f>SUM(Y550:Y558)</f>
        <v>41.099999999999994</v>
      </c>
      <c r="AA558" s="2"/>
      <c r="AB558" s="2"/>
      <c r="AC558" s="3"/>
      <c r="AD558" s="2"/>
      <c r="AE558" s="2"/>
      <c r="AF558" s="2"/>
      <c r="AG558" s="2"/>
      <c r="AH558" s="2" t="s">
        <v>4988</v>
      </c>
      <c r="AI558" s="2" t="s">
        <v>4987</v>
      </c>
      <c r="AJ558" s="2"/>
      <c r="AK558" s="2"/>
      <c r="AL558" s="2"/>
      <c r="AM558" s="2"/>
      <c r="AN558" s="2"/>
      <c r="AO558" s="5" t="s">
        <v>4625</v>
      </c>
      <c r="AP558" s="5" t="s">
        <v>4625</v>
      </c>
      <c r="AQ558" s="5"/>
      <c r="AR558" s="2"/>
      <c r="AS558" s="2"/>
      <c r="AT558" s="2"/>
      <c r="AU558" s="2" t="s">
        <v>5206</v>
      </c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</row>
    <row r="559" spans="3:58" ht="17.25" customHeight="1">
      <c r="C559" s="1">
        <v>43977</v>
      </c>
      <c r="E559" s="2" t="s">
        <v>4961</v>
      </c>
      <c r="F559" s="15"/>
      <c r="G559" s="2" t="s">
        <v>4970</v>
      </c>
      <c r="H559" s="2" t="s">
        <v>4969</v>
      </c>
      <c r="I559" s="2"/>
      <c r="J559" s="2">
        <v>1</v>
      </c>
      <c r="K559" s="2"/>
      <c r="L559" s="3">
        <v>83.5</v>
      </c>
      <c r="M559" s="3">
        <v>8.35</v>
      </c>
      <c r="N559" s="3">
        <v>4.28</v>
      </c>
      <c r="O559" s="3">
        <v>0</v>
      </c>
      <c r="P559" s="3">
        <f>6.99-6.99</f>
        <v>0</v>
      </c>
      <c r="Q559" s="6">
        <f t="shared" ref="Q559:Q560" si="1262">+L559-M559-N559+P559</f>
        <v>70.87</v>
      </c>
      <c r="R559" s="3"/>
      <c r="S559" s="3">
        <v>65.19</v>
      </c>
      <c r="T559" s="3">
        <v>5.46</v>
      </c>
      <c r="U559" s="3"/>
      <c r="V559" s="3"/>
      <c r="W559" s="3">
        <f>6.51</f>
        <v>6.51</v>
      </c>
      <c r="X559" s="2">
        <f t="shared" ref="X559:X560" si="1263">+S559+T559++U559+V559-W559</f>
        <v>64.139999999999986</v>
      </c>
      <c r="Y559" s="6">
        <f t="shared" ref="Y559:Y560" si="1264">+Q559-X559</f>
        <v>6.7300000000000182</v>
      </c>
      <c r="Z559" s="2"/>
      <c r="AA559" s="2"/>
      <c r="AB559" s="2"/>
      <c r="AC559" s="3"/>
      <c r="AD559" s="2"/>
      <c r="AE559" s="2"/>
      <c r="AF559" s="2"/>
      <c r="AG559" s="2"/>
      <c r="AH559" s="2" t="s">
        <v>4972</v>
      </c>
      <c r="AI559" s="2" t="s">
        <v>4971</v>
      </c>
      <c r="AJ559" s="2"/>
      <c r="AK559" s="2"/>
      <c r="AL559" s="2" t="s">
        <v>4609</v>
      </c>
      <c r="AM559" s="16" t="s">
        <v>5370</v>
      </c>
      <c r="AN559" s="2">
        <v>1</v>
      </c>
      <c r="AO559" s="2" t="s">
        <v>5318</v>
      </c>
      <c r="AP559" s="2" t="s">
        <v>4966</v>
      </c>
      <c r="AQ559" s="2"/>
      <c r="AR559" s="16" t="s">
        <v>5316</v>
      </c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</row>
    <row r="560" spans="3:58" ht="17.25" customHeight="1">
      <c r="C560" s="1">
        <v>43977</v>
      </c>
      <c r="E560" s="2" t="s">
        <v>4595</v>
      </c>
      <c r="F560" s="15"/>
      <c r="G560" s="2" t="s">
        <v>4960</v>
      </c>
      <c r="H560" s="2" t="s">
        <v>4959</v>
      </c>
      <c r="I560" s="2"/>
      <c r="J560" s="2">
        <v>1</v>
      </c>
      <c r="K560" s="2"/>
      <c r="L560" s="3">
        <v>76.5</v>
      </c>
      <c r="M560" s="3">
        <v>7.65</v>
      </c>
      <c r="N560" s="3">
        <v>4</v>
      </c>
      <c r="O560" s="3">
        <v>0</v>
      </c>
      <c r="P560" s="3">
        <f>7.65-7.65</f>
        <v>0</v>
      </c>
      <c r="Q560" s="6">
        <f t="shared" si="1262"/>
        <v>64.849999999999994</v>
      </c>
      <c r="R560" s="3"/>
      <c r="S560" s="3">
        <v>59.19</v>
      </c>
      <c r="T560" s="3">
        <v>5.91</v>
      </c>
      <c r="U560" s="3"/>
      <c r="V560" s="3"/>
      <c r="W560" s="3">
        <f>5.91+0.59</f>
        <v>6.5</v>
      </c>
      <c r="X560" s="2">
        <f t="shared" si="1263"/>
        <v>58.599999999999994</v>
      </c>
      <c r="Y560" s="6">
        <f t="shared" si="1264"/>
        <v>6.25</v>
      </c>
      <c r="Z560" s="2"/>
      <c r="AA560" s="2"/>
      <c r="AB560" s="2"/>
      <c r="AC560" s="3"/>
      <c r="AD560" s="2"/>
      <c r="AE560" s="2"/>
      <c r="AF560" s="2"/>
      <c r="AG560" s="2"/>
      <c r="AH560" s="2" t="s">
        <v>4968</v>
      </c>
      <c r="AI560" s="2" t="s">
        <v>4967</v>
      </c>
      <c r="AJ560" s="2"/>
      <c r="AK560" s="2"/>
      <c r="AL560" s="2" t="s">
        <v>4609</v>
      </c>
      <c r="AM560" s="16" t="s">
        <v>5361</v>
      </c>
      <c r="AN560" s="2">
        <v>1</v>
      </c>
      <c r="AO560" s="2" t="s">
        <v>5315</v>
      </c>
      <c r="AP560" s="2" t="s">
        <v>4966</v>
      </c>
      <c r="AQ560" s="2"/>
      <c r="AR560" s="16" t="s">
        <v>5316</v>
      </c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</row>
    <row r="561" spans="3:58" ht="17.25" customHeight="1">
      <c r="C561" s="1">
        <v>43977</v>
      </c>
      <c r="E561" s="2" t="s">
        <v>3290</v>
      </c>
      <c r="F561" s="15"/>
      <c r="G561" s="2" t="s">
        <v>4958</v>
      </c>
      <c r="H561" s="2" t="s">
        <v>4957</v>
      </c>
      <c r="I561" s="2"/>
      <c r="J561" s="2">
        <v>1</v>
      </c>
      <c r="K561" s="2"/>
      <c r="L561" s="3">
        <v>37.15</v>
      </c>
      <c r="M561" s="3">
        <v>3.71</v>
      </c>
      <c r="N561" s="3">
        <v>2.0299999999999998</v>
      </c>
      <c r="O561" s="3"/>
      <c r="P561" s="3">
        <f>2.23-2.23</f>
        <v>0</v>
      </c>
      <c r="Q561" s="6">
        <f t="shared" ref="Q561" si="1265">+L561-M561-N561+P561</f>
        <v>31.409999999999997</v>
      </c>
      <c r="R561" s="3"/>
      <c r="S561" s="3">
        <v>23.99</v>
      </c>
      <c r="T561" s="3">
        <v>1.44</v>
      </c>
      <c r="U561" s="3">
        <v>0</v>
      </c>
      <c r="V561" s="3"/>
      <c r="W561" s="3">
        <v>0</v>
      </c>
      <c r="X561" s="2">
        <f t="shared" ref="X561" si="1266">+S561+T561++U561+V561-W561</f>
        <v>25.43</v>
      </c>
      <c r="Y561" s="6">
        <f t="shared" ref="Y561" si="1267">+Q561-X561</f>
        <v>5.9799999999999969</v>
      </c>
      <c r="Z561" s="2"/>
      <c r="AA561" s="2"/>
      <c r="AB561" s="2"/>
      <c r="AC561" s="3"/>
      <c r="AD561" s="2"/>
      <c r="AE561" s="2"/>
      <c r="AF561" s="2"/>
      <c r="AG561" s="2"/>
      <c r="AH561" s="2" t="s">
        <v>4965</v>
      </c>
      <c r="AI561" s="2" t="s">
        <v>4964</v>
      </c>
      <c r="AJ561" s="2"/>
      <c r="AK561" s="2"/>
      <c r="AL561" s="2" t="s">
        <v>5448</v>
      </c>
      <c r="AM561" s="16" t="s">
        <v>5447</v>
      </c>
      <c r="AN561" s="2"/>
      <c r="AO561" s="2" t="s">
        <v>5008</v>
      </c>
      <c r="AP561" s="2" t="s">
        <v>4501</v>
      </c>
      <c r="AQ561" s="2"/>
      <c r="AR561" s="16" t="s">
        <v>5009</v>
      </c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</row>
    <row r="562" spans="3:58" ht="17.25" customHeight="1">
      <c r="C562" s="1">
        <v>43977</v>
      </c>
      <c r="E562" s="2" t="s">
        <v>4951</v>
      </c>
      <c r="F562" s="15"/>
      <c r="G562" s="2" t="s">
        <v>4953</v>
      </c>
      <c r="H562" s="2" t="s">
        <v>4952</v>
      </c>
      <c r="I562" s="2"/>
      <c r="J562" s="2">
        <v>1</v>
      </c>
      <c r="K562" s="2"/>
      <c r="L562" s="3">
        <v>41.7</v>
      </c>
      <c r="M562" s="3">
        <v>4.17</v>
      </c>
      <c r="N562" s="3">
        <v>2.2599999999999998</v>
      </c>
      <c r="O562" s="3">
        <v>0</v>
      </c>
      <c r="P562" s="3">
        <v>2.92</v>
      </c>
      <c r="Q562" s="6">
        <f t="shared" ref="Q562" si="1268">+L562-M562-N562+P562</f>
        <v>38.190000000000005</v>
      </c>
      <c r="R562" s="3"/>
      <c r="S562" s="3">
        <v>25.98</v>
      </c>
      <c r="T562" s="3">
        <v>1.82</v>
      </c>
      <c r="U562" s="3"/>
      <c r="V562" s="3"/>
      <c r="W562" s="3"/>
      <c r="X562" s="2">
        <f t="shared" ref="X562" si="1269">+S562+T562++U562+V562-W562</f>
        <v>27.8</v>
      </c>
      <c r="Y562" s="6">
        <f t="shared" ref="Y562" si="1270">+Q562-X562</f>
        <v>10.390000000000004</v>
      </c>
      <c r="Z562" s="2"/>
      <c r="AA562" s="2"/>
      <c r="AB562" s="2"/>
      <c r="AC562" s="3"/>
      <c r="AD562" s="2"/>
      <c r="AE562" s="2"/>
      <c r="AF562" s="2"/>
      <c r="AG562" s="2"/>
      <c r="AH562" s="2" t="s">
        <v>4963</v>
      </c>
      <c r="AI562" s="2" t="s">
        <v>4962</v>
      </c>
      <c r="AJ562" s="2"/>
      <c r="AK562" s="2"/>
      <c r="AL562" s="2" t="s">
        <v>4882</v>
      </c>
      <c r="AM562" s="2" t="s">
        <v>5147</v>
      </c>
      <c r="AN562" s="2"/>
      <c r="AO562" s="2" t="s">
        <v>5006</v>
      </c>
      <c r="AP562" s="2" t="s">
        <v>5007</v>
      </c>
      <c r="AQ562" s="2"/>
      <c r="AR562" s="16" t="s">
        <v>4838</v>
      </c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</row>
    <row r="563" spans="3:58" ht="17.25" customHeight="1">
      <c r="C563" s="1">
        <v>43977</v>
      </c>
      <c r="E563" s="2" t="s">
        <v>4505</v>
      </c>
      <c r="F563" s="15"/>
      <c r="G563" s="2" t="s">
        <v>4935</v>
      </c>
      <c r="H563" s="2" t="s">
        <v>4934</v>
      </c>
      <c r="I563" s="2"/>
      <c r="J563" s="2">
        <v>1</v>
      </c>
      <c r="K563" s="2"/>
      <c r="L563" s="3">
        <v>32.65</v>
      </c>
      <c r="M563" s="3">
        <v>3.26</v>
      </c>
      <c r="N563" s="3">
        <v>1.84</v>
      </c>
      <c r="O563" s="3"/>
      <c r="P563" s="3">
        <v>2.37</v>
      </c>
      <c r="Q563" s="6">
        <f t="shared" ref="Q563" si="1271">+L563-M563-N563+P563</f>
        <v>29.92</v>
      </c>
      <c r="R563" s="3"/>
      <c r="S563" s="3">
        <v>15.99</v>
      </c>
      <c r="T563" s="3">
        <v>1.1599999999999999</v>
      </c>
      <c r="U563" s="3"/>
      <c r="V563" s="3"/>
      <c r="W563" s="3"/>
      <c r="X563" s="2">
        <f t="shared" ref="X563" si="1272">+S563+T563++U563+V563-W563</f>
        <v>17.149999999999999</v>
      </c>
      <c r="Y563" s="6">
        <f t="shared" ref="Y563" si="1273">+Q563-X563</f>
        <v>12.770000000000003</v>
      </c>
      <c r="Z563" s="2"/>
      <c r="AA563" s="2"/>
      <c r="AB563" s="2"/>
      <c r="AC563" s="3"/>
      <c r="AD563" s="2"/>
      <c r="AE563" s="2"/>
      <c r="AF563" s="2"/>
      <c r="AG563" s="2"/>
      <c r="AH563" s="2" t="s">
        <v>4939</v>
      </c>
      <c r="AI563" s="2" t="s">
        <v>4938</v>
      </c>
      <c r="AJ563" s="2"/>
      <c r="AK563" s="2"/>
      <c r="AL563" s="2" t="s">
        <v>4571</v>
      </c>
      <c r="AM563" s="16" t="s">
        <v>5186</v>
      </c>
      <c r="AN563" s="2"/>
      <c r="AO563" s="35" t="s">
        <v>4999</v>
      </c>
      <c r="AP563" s="2" t="s">
        <v>4932</v>
      </c>
      <c r="AQ563" s="2"/>
      <c r="AR563" s="16" t="s">
        <v>5000</v>
      </c>
      <c r="AS563" s="16" t="s">
        <v>5064</v>
      </c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</row>
    <row r="564" spans="3:58" ht="17.25" customHeight="1">
      <c r="C564" s="1">
        <v>43977</v>
      </c>
      <c r="E564" s="2" t="s">
        <v>4505</v>
      </c>
      <c r="F564" s="15"/>
      <c r="G564" s="2" t="s">
        <v>4915</v>
      </c>
      <c r="H564" s="2" t="s">
        <v>4914</v>
      </c>
      <c r="I564" s="2"/>
      <c r="J564" s="2">
        <v>1</v>
      </c>
      <c r="K564" s="2"/>
      <c r="L564" s="3">
        <v>31.65</v>
      </c>
      <c r="M564" s="3">
        <v>3.16</v>
      </c>
      <c r="N564" s="3">
        <v>1.81</v>
      </c>
      <c r="O564" s="3"/>
      <c r="P564" s="3">
        <f>2.73-2.73</f>
        <v>0</v>
      </c>
      <c r="Q564" s="6">
        <f t="shared" ref="Q564" si="1274">+L564-M564-N564+P564</f>
        <v>26.68</v>
      </c>
      <c r="R564" s="3"/>
      <c r="S564" s="3">
        <v>15.99</v>
      </c>
      <c r="T564" s="3">
        <v>1.38</v>
      </c>
      <c r="U564" s="3"/>
      <c r="V564" s="3"/>
      <c r="W564" s="3"/>
      <c r="X564" s="2">
        <f t="shared" ref="X564" si="1275">+S564+T564++U564+V564-W564</f>
        <v>17.37</v>
      </c>
      <c r="Y564" s="6">
        <f t="shared" ref="Y564" si="1276">+Q564-X564</f>
        <v>9.3099999999999987</v>
      </c>
      <c r="Z564" s="6">
        <f>SUM(Y559:Y564)</f>
        <v>51.430000000000021</v>
      </c>
      <c r="AA564" s="2"/>
      <c r="AB564" s="2"/>
      <c r="AC564" s="3"/>
      <c r="AD564" s="2"/>
      <c r="AE564" s="2"/>
      <c r="AF564" s="2"/>
      <c r="AG564" s="2"/>
      <c r="AH564" s="2" t="s">
        <v>4937</v>
      </c>
      <c r="AI564" s="2" t="s">
        <v>4936</v>
      </c>
      <c r="AJ564" s="2"/>
      <c r="AK564" s="2"/>
      <c r="AL564" s="2" t="s">
        <v>4882</v>
      </c>
      <c r="AM564" s="2" t="s">
        <v>5192</v>
      </c>
      <c r="AN564" s="2"/>
      <c r="AO564" s="2" t="s">
        <v>4940</v>
      </c>
      <c r="AP564" s="2" t="s">
        <v>4932</v>
      </c>
      <c r="AQ564" s="2"/>
      <c r="AR564" s="16" t="s">
        <v>4931</v>
      </c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</row>
    <row r="565" spans="3:58" ht="17.25" customHeight="1">
      <c r="C565" s="1">
        <v>43976</v>
      </c>
      <c r="E565" s="2" t="s">
        <v>7</v>
      </c>
      <c r="F565" s="15"/>
      <c r="G565" s="2" t="s">
        <v>4893</v>
      </c>
      <c r="H565" s="2" t="s">
        <v>5212</v>
      </c>
      <c r="I565" s="2"/>
      <c r="J565" s="2">
        <v>1</v>
      </c>
      <c r="K565" s="2"/>
      <c r="L565" s="3">
        <v>0</v>
      </c>
      <c r="M565" s="3">
        <v>0</v>
      </c>
      <c r="N565" s="3">
        <v>0</v>
      </c>
      <c r="O565" s="3"/>
      <c r="P565" s="3">
        <f>1.42-1.42</f>
        <v>0</v>
      </c>
      <c r="Q565" s="6">
        <f t="shared" ref="Q565:Q566" si="1277">+L565-M565-N565+P565</f>
        <v>0</v>
      </c>
      <c r="R565" s="3"/>
      <c r="S565" s="3">
        <v>0</v>
      </c>
      <c r="T565" s="3">
        <v>0</v>
      </c>
      <c r="U565" s="3">
        <v>0</v>
      </c>
      <c r="V565" s="3"/>
      <c r="W565" s="3"/>
      <c r="X565" s="2">
        <f t="shared" ref="X565:X566" si="1278">+S565+T565++U565+V565-W565</f>
        <v>0</v>
      </c>
      <c r="Y565" s="6">
        <f t="shared" ref="Y565:Y566" si="1279">+Q565-X565</f>
        <v>0</v>
      </c>
      <c r="Z565" s="2"/>
      <c r="AA565" s="2"/>
      <c r="AB565" s="2"/>
      <c r="AC565" s="3"/>
      <c r="AD565" s="2"/>
      <c r="AE565" s="2"/>
      <c r="AF565" s="2"/>
      <c r="AG565" s="2"/>
      <c r="AH565" s="2" t="s">
        <v>4898</v>
      </c>
      <c r="AI565" s="2" t="s">
        <v>4897</v>
      </c>
      <c r="AJ565" s="2"/>
      <c r="AK565" s="2"/>
      <c r="AL565" s="2"/>
      <c r="AM565" s="2"/>
      <c r="AN565" s="2"/>
      <c r="AO565" s="5" t="s">
        <v>5198</v>
      </c>
      <c r="AP565" s="2"/>
      <c r="AQ565" s="2"/>
      <c r="AR565" s="2"/>
      <c r="AS565" s="2"/>
      <c r="AT565" s="2"/>
      <c r="AU565" s="5" t="s">
        <v>5211</v>
      </c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</row>
    <row r="566" spans="3:58" ht="17.25" customHeight="1">
      <c r="C566" s="1">
        <v>43976</v>
      </c>
      <c r="E566" s="2" t="s">
        <v>4896</v>
      </c>
      <c r="F566" s="15"/>
      <c r="G566" s="2" t="s">
        <v>4895</v>
      </c>
      <c r="H566" s="2" t="s">
        <v>4894</v>
      </c>
      <c r="I566" s="2"/>
      <c r="J566" s="2">
        <v>1</v>
      </c>
      <c r="K566" s="2"/>
      <c r="L566" s="3">
        <v>29.35</v>
      </c>
      <c r="M566" s="3">
        <v>2.93</v>
      </c>
      <c r="N566" s="3">
        <v>1.68</v>
      </c>
      <c r="O566" s="3"/>
      <c r="P566" s="3">
        <f>2.05-2.05</f>
        <v>0</v>
      </c>
      <c r="Q566" s="6">
        <f t="shared" si="1277"/>
        <v>24.740000000000002</v>
      </c>
      <c r="R566" s="3"/>
      <c r="S566" s="3">
        <v>14.98</v>
      </c>
      <c r="T566" s="3">
        <v>1.05</v>
      </c>
      <c r="U566" s="3">
        <v>0</v>
      </c>
      <c r="V566" s="3"/>
      <c r="W566" s="3">
        <v>0</v>
      </c>
      <c r="X566" s="2">
        <f t="shared" si="1278"/>
        <v>16.03</v>
      </c>
      <c r="Y566" s="6">
        <f t="shared" si="1279"/>
        <v>8.7100000000000009</v>
      </c>
      <c r="Z566" s="2"/>
      <c r="AA566" s="2"/>
      <c r="AB566" s="2"/>
      <c r="AC566" s="3"/>
      <c r="AD566" s="2"/>
      <c r="AE566" s="2"/>
      <c r="AF566" s="2"/>
      <c r="AG566" s="2"/>
      <c r="AH566" s="2" t="s">
        <v>4902</v>
      </c>
      <c r="AI566" s="2" t="s">
        <v>4901</v>
      </c>
      <c r="AJ566" s="2"/>
      <c r="AK566" s="2"/>
      <c r="AL566" s="2" t="s">
        <v>4911</v>
      </c>
      <c r="AM566" s="16" t="s">
        <v>5080</v>
      </c>
      <c r="AN566" s="2"/>
      <c r="AO566" s="2" t="s">
        <v>4996</v>
      </c>
      <c r="AP566" s="2" t="s">
        <v>4501</v>
      </c>
      <c r="AQ566" s="2"/>
      <c r="AR566" s="16" t="s">
        <v>4838</v>
      </c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</row>
    <row r="567" spans="3:58" ht="17.25" customHeight="1">
      <c r="C567" s="1">
        <v>43976</v>
      </c>
      <c r="E567" s="2" t="s">
        <v>7</v>
      </c>
      <c r="F567" s="15"/>
      <c r="G567" s="2" t="s">
        <v>5893</v>
      </c>
      <c r="H567" s="2" t="s">
        <v>5205</v>
      </c>
      <c r="I567" s="2"/>
      <c r="J567" s="2">
        <v>2</v>
      </c>
      <c r="K567" s="2"/>
      <c r="L567" s="3">
        <v>63</v>
      </c>
      <c r="M567" s="3">
        <v>6.3</v>
      </c>
      <c r="N567" s="3">
        <v>3.07</v>
      </c>
      <c r="O567" s="3"/>
      <c r="P567" s="3">
        <f>2-2</f>
        <v>0</v>
      </c>
      <c r="Q567" s="6">
        <f t="shared" ref="Q567:Q568" si="1280">+L567-M567-N567+P567</f>
        <v>53.63</v>
      </c>
      <c r="R567" s="3"/>
      <c r="S567" s="3">
        <v>17.98</v>
      </c>
      <c r="T567" s="3">
        <v>1.1399999999999999</v>
      </c>
      <c r="U567" s="3">
        <v>0</v>
      </c>
      <c r="V567" s="3"/>
      <c r="W567" s="3"/>
      <c r="X567" s="2">
        <f t="shared" ref="X567:X569" si="1281">+S567+T567++U567+V567-W567</f>
        <v>19.12</v>
      </c>
      <c r="Y567" s="6">
        <f t="shared" ref="Y567:Y568" si="1282">+Q567-X567</f>
        <v>34.510000000000005</v>
      </c>
      <c r="Z567" s="2"/>
      <c r="AA567" s="2"/>
      <c r="AB567" s="2"/>
      <c r="AC567" s="3"/>
      <c r="AD567" s="2"/>
      <c r="AE567" s="2"/>
      <c r="AF567" s="2"/>
      <c r="AG567" s="2"/>
      <c r="AH567" s="2" t="s">
        <v>4900</v>
      </c>
      <c r="AI567" s="2" t="s">
        <v>4899</v>
      </c>
      <c r="AJ567" s="2"/>
      <c r="AK567" s="2"/>
      <c r="AL567" s="2" t="s">
        <v>5448</v>
      </c>
      <c r="AM567" s="2" t="s">
        <v>5947</v>
      </c>
      <c r="AN567" s="2"/>
      <c r="AO567" s="2" t="s">
        <v>4994</v>
      </c>
      <c r="AP567" s="2" t="s">
        <v>4932</v>
      </c>
      <c r="AQ567" s="2"/>
      <c r="AR567" s="16" t="s">
        <v>4995</v>
      </c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</row>
    <row r="568" spans="3:58" ht="17.25" customHeight="1">
      <c r="C568" s="1">
        <v>43976</v>
      </c>
      <c r="E568" s="2" t="s">
        <v>4764</v>
      </c>
      <c r="F568" s="15"/>
      <c r="G568" s="2" t="s">
        <v>4913</v>
      </c>
      <c r="H568" s="2" t="s">
        <v>4912</v>
      </c>
      <c r="I568" s="2"/>
      <c r="J568" s="2">
        <v>1</v>
      </c>
      <c r="K568" s="2"/>
      <c r="L568" s="3">
        <v>22.85</v>
      </c>
      <c r="M568" s="3">
        <v>2.2799999999999998</v>
      </c>
      <c r="N568" s="3">
        <v>1.4</v>
      </c>
      <c r="O568" s="3"/>
      <c r="P568" s="3">
        <f>2.14-2.14</f>
        <v>0</v>
      </c>
      <c r="Q568" s="6">
        <f t="shared" si="1280"/>
        <v>19.170000000000002</v>
      </c>
      <c r="R568" s="3"/>
      <c r="S568" s="3">
        <v>11.95</v>
      </c>
      <c r="T568" s="3">
        <v>1.1200000000000001</v>
      </c>
      <c r="U568" s="3"/>
      <c r="V568" s="3"/>
      <c r="W568" s="3"/>
      <c r="X568" s="2">
        <f t="shared" si="1281"/>
        <v>13.07</v>
      </c>
      <c r="Y568" s="6">
        <f t="shared" si="1282"/>
        <v>6.1000000000000014</v>
      </c>
      <c r="Z568" s="2"/>
      <c r="AA568" s="2"/>
      <c r="AB568" s="2"/>
      <c r="AC568" s="3"/>
      <c r="AD568" s="2"/>
      <c r="AE568" s="2"/>
      <c r="AF568" s="2"/>
      <c r="AG568" s="2"/>
      <c r="AH568" s="2" t="s">
        <v>4919</v>
      </c>
      <c r="AI568" s="2" t="s">
        <v>4918</v>
      </c>
      <c r="AJ568" s="2"/>
      <c r="AK568" s="2"/>
      <c r="AL568" s="2" t="s">
        <v>4571</v>
      </c>
      <c r="AM568" s="16" t="s">
        <v>5188</v>
      </c>
      <c r="AN568" s="2"/>
      <c r="AO568" s="2" t="s">
        <v>4916</v>
      </c>
      <c r="AP568" s="2" t="s">
        <v>3233</v>
      </c>
      <c r="AQ568" s="2"/>
      <c r="AR568" s="16" t="s">
        <v>4917</v>
      </c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</row>
    <row r="569" spans="3:58" ht="17.25" customHeight="1">
      <c r="C569" s="1">
        <v>43976</v>
      </c>
      <c r="E569" s="2" t="s">
        <v>4764</v>
      </c>
      <c r="F569" s="15"/>
      <c r="G569" s="2" t="s">
        <v>4892</v>
      </c>
      <c r="H569" s="2" t="s">
        <v>4891</v>
      </c>
      <c r="I569" s="2"/>
      <c r="J569" s="2">
        <v>1</v>
      </c>
      <c r="K569" s="2"/>
      <c r="L569" s="3">
        <v>22.85</v>
      </c>
      <c r="M569" s="3">
        <v>2.2799999999999998</v>
      </c>
      <c r="N569" s="3">
        <v>1.4</v>
      </c>
      <c r="O569" s="3"/>
      <c r="P569" s="3">
        <f>2.14-2.14</f>
        <v>0</v>
      </c>
      <c r="Q569" s="6">
        <f t="shared" ref="Q569" si="1283">+L569-M569-N569+P569</f>
        <v>19.170000000000002</v>
      </c>
      <c r="R569" s="3"/>
      <c r="S569" s="3">
        <v>11.95</v>
      </c>
      <c r="T569" s="3">
        <v>1.1200000000000001</v>
      </c>
      <c r="U569" s="3"/>
      <c r="V569" s="3"/>
      <c r="W569" s="3"/>
      <c r="X569" s="2">
        <f t="shared" si="1281"/>
        <v>13.07</v>
      </c>
      <c r="Y569" s="6">
        <f t="shared" ref="Y569" si="1284">+Q569-X569</f>
        <v>6.1000000000000014</v>
      </c>
      <c r="Z569" s="2"/>
      <c r="AA569" s="2"/>
      <c r="AB569" s="2"/>
      <c r="AC569" s="3"/>
      <c r="AD569" s="2"/>
      <c r="AE569" s="2"/>
      <c r="AF569" s="2"/>
      <c r="AG569" s="2"/>
      <c r="AH569" s="2" t="s">
        <v>4890</v>
      </c>
      <c r="AI569" s="2" t="s">
        <v>4889</v>
      </c>
      <c r="AJ569" s="2"/>
      <c r="AK569" s="2"/>
      <c r="AL569" s="2" t="s">
        <v>4911</v>
      </c>
      <c r="AM569" s="2" t="s">
        <v>4975</v>
      </c>
      <c r="AN569" s="2"/>
      <c r="AO569" s="2" t="s">
        <v>4903</v>
      </c>
      <c r="AP569" s="2" t="s">
        <v>4905</v>
      </c>
      <c r="AQ569" s="2"/>
      <c r="AR569" s="16" t="s">
        <v>4904</v>
      </c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</row>
    <row r="570" spans="3:58" ht="17.25" customHeight="1">
      <c r="C570" s="1">
        <v>43976</v>
      </c>
      <c r="E570" s="2" t="s">
        <v>1952</v>
      </c>
      <c r="F570" s="15"/>
      <c r="G570" s="2" t="s">
        <v>4888</v>
      </c>
      <c r="H570" s="2" t="s">
        <v>4887</v>
      </c>
      <c r="I570" s="2"/>
      <c r="J570" s="2">
        <v>1</v>
      </c>
      <c r="K570" s="2"/>
      <c r="L570" s="3">
        <v>18.95</v>
      </c>
      <c r="M570" s="3">
        <v>1.89</v>
      </c>
      <c r="N570" s="3">
        <v>1.19</v>
      </c>
      <c r="O570" s="3"/>
      <c r="P570" s="3">
        <f>1.33-1.33</f>
        <v>0</v>
      </c>
      <c r="Q570" s="6">
        <f t="shared" ref="Q570" si="1285">+L570-M570-N570+P570</f>
        <v>15.87</v>
      </c>
      <c r="R570" s="3"/>
      <c r="S570" s="3">
        <v>12.3</v>
      </c>
      <c r="T570" s="3">
        <v>0.86</v>
      </c>
      <c r="U570" s="3"/>
      <c r="V570" s="3"/>
      <c r="W570" s="3">
        <v>1.23</v>
      </c>
      <c r="X570" s="2">
        <f t="shared" ref="X570" si="1286">+S570+T570++U570+V570-W570</f>
        <v>11.93</v>
      </c>
      <c r="Y570" s="6">
        <f t="shared" ref="Y570" si="1287">+Q570-X570</f>
        <v>3.9399999999999995</v>
      </c>
      <c r="Z570" s="2"/>
      <c r="AA570" s="2"/>
      <c r="AB570" s="2"/>
      <c r="AC570" s="3"/>
      <c r="AD570" s="2"/>
      <c r="AE570" s="2"/>
      <c r="AF570" s="2"/>
      <c r="AG570" s="2"/>
      <c r="AH570" s="2" t="s">
        <v>4945</v>
      </c>
      <c r="AI570" s="2" t="s">
        <v>4944</v>
      </c>
      <c r="AJ570" s="2"/>
      <c r="AK570" s="2"/>
      <c r="AL570" s="2" t="s">
        <v>4571</v>
      </c>
      <c r="AM570" s="16" t="s">
        <v>4954</v>
      </c>
      <c r="AN570" s="2"/>
      <c r="AO570" s="2" t="s">
        <v>4920</v>
      </c>
      <c r="AP570" s="2" t="s">
        <v>3252</v>
      </c>
      <c r="AQ570" s="2"/>
      <c r="AR570" s="16" t="s">
        <v>4556</v>
      </c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</row>
    <row r="571" spans="3:58" ht="17.25" customHeight="1">
      <c r="C571" s="1">
        <v>43976</v>
      </c>
      <c r="E571" s="2" t="s">
        <v>7</v>
      </c>
      <c r="F571" s="15"/>
      <c r="G571" s="2" t="s">
        <v>5063</v>
      </c>
      <c r="H571" s="2" t="s">
        <v>5173</v>
      </c>
      <c r="I571" s="2"/>
      <c r="J571" s="2">
        <v>1</v>
      </c>
      <c r="K571" s="2"/>
      <c r="L571" s="3">
        <v>0</v>
      </c>
      <c r="M571" s="3">
        <v>0</v>
      </c>
      <c r="N571" s="3">
        <v>0</v>
      </c>
      <c r="O571" s="3"/>
      <c r="P571" s="3">
        <v>0</v>
      </c>
      <c r="Q571" s="6">
        <f t="shared" ref="Q571" si="1288">+L571-M571-N571+P571</f>
        <v>0</v>
      </c>
      <c r="R571" s="3"/>
      <c r="S571" s="3">
        <v>0</v>
      </c>
      <c r="T571" s="3">
        <v>0</v>
      </c>
      <c r="U571" s="3">
        <v>0</v>
      </c>
      <c r="V571" s="3"/>
      <c r="W571" s="3"/>
      <c r="X571" s="2">
        <f t="shared" ref="X571" si="1289">+S571+T571++U571+V571-W571</f>
        <v>0</v>
      </c>
      <c r="Y571" s="6">
        <f t="shared" ref="Y571" si="1290">+Q571-X571</f>
        <v>0</v>
      </c>
      <c r="Z571" s="2"/>
      <c r="AA571" s="2"/>
      <c r="AB571" s="2"/>
      <c r="AC571" s="3"/>
      <c r="AD571" s="2"/>
      <c r="AE571" s="2"/>
      <c r="AF571" s="2"/>
      <c r="AG571" s="2"/>
      <c r="AH571" s="2" t="s">
        <v>4885</v>
      </c>
      <c r="AI571" s="2" t="s">
        <v>4884</v>
      </c>
      <c r="AJ571" s="2"/>
      <c r="AK571" s="2"/>
      <c r="AL571" s="2"/>
      <c r="AM571" s="2"/>
      <c r="AN571" s="2"/>
      <c r="AO571" s="5" t="s">
        <v>5294</v>
      </c>
      <c r="AP571" s="5" t="s">
        <v>5294</v>
      </c>
      <c r="AQ571" s="5"/>
      <c r="AR571" s="2"/>
      <c r="AS571" s="2"/>
      <c r="AT571" s="2"/>
      <c r="AU571" s="2" t="s">
        <v>5204</v>
      </c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</row>
    <row r="572" spans="3:58" ht="17.25" customHeight="1">
      <c r="C572" s="1">
        <v>43976</v>
      </c>
      <c r="E572" s="2" t="s">
        <v>4505</v>
      </c>
      <c r="F572" s="15"/>
      <c r="G572" s="2" t="s">
        <v>4869</v>
      </c>
      <c r="H572" s="2" t="s">
        <v>4868</v>
      </c>
      <c r="I572" s="2"/>
      <c r="J572" s="2">
        <v>1</v>
      </c>
      <c r="K572" s="2"/>
      <c r="L572" s="3">
        <v>31.65</v>
      </c>
      <c r="M572" s="3">
        <v>3.16</v>
      </c>
      <c r="N572" s="3">
        <v>1.8</v>
      </c>
      <c r="O572" s="3"/>
      <c r="P572" s="3">
        <f>2.45-2.45</f>
        <v>0</v>
      </c>
      <c r="Q572" s="6">
        <f t="shared" ref="Q572" si="1291">+L572-M572-N572+P572</f>
        <v>26.689999999999998</v>
      </c>
      <c r="R572" s="3"/>
      <c r="S572" s="3">
        <v>15.99</v>
      </c>
      <c r="T572" s="3">
        <v>1.24</v>
      </c>
      <c r="U572" s="3"/>
      <c r="V572" s="3"/>
      <c r="W572" s="3"/>
      <c r="X572" s="2">
        <f t="shared" ref="X572" si="1292">+S572+T572++U572+V572-W572</f>
        <v>17.23</v>
      </c>
      <c r="Y572" s="6">
        <f t="shared" ref="Y572" si="1293">+Q572-X572</f>
        <v>9.4599999999999973</v>
      </c>
      <c r="Z572" s="2"/>
      <c r="AA572" s="2"/>
      <c r="AB572" s="2"/>
      <c r="AC572" s="3"/>
      <c r="AD572" s="2"/>
      <c r="AE572" s="2"/>
      <c r="AF572" s="2"/>
      <c r="AG572" s="2"/>
      <c r="AH572" s="2" t="s">
        <v>4871</v>
      </c>
      <c r="AI572" s="2" t="s">
        <v>4870</v>
      </c>
      <c r="AJ572" s="2"/>
      <c r="AK572" s="2"/>
      <c r="AL572" s="2" t="s">
        <v>4882</v>
      </c>
      <c r="AM572" s="2" t="s">
        <v>5146</v>
      </c>
      <c r="AN572" s="2"/>
      <c r="AO572" s="2" t="s">
        <v>4933</v>
      </c>
      <c r="AP572" s="2" t="s">
        <v>4932</v>
      </c>
      <c r="AQ572" s="2"/>
      <c r="AR572" s="16" t="s">
        <v>4931</v>
      </c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</row>
    <row r="573" spans="3:58" ht="17.25" customHeight="1">
      <c r="C573" s="1">
        <v>43976</v>
      </c>
      <c r="E573" s="2" t="s">
        <v>4505</v>
      </c>
      <c r="F573" s="15"/>
      <c r="G573" s="2" t="s">
        <v>4863</v>
      </c>
      <c r="H573" s="2" t="s">
        <v>4862</v>
      </c>
      <c r="I573" s="2"/>
      <c r="J573" s="2">
        <v>1</v>
      </c>
      <c r="K573" s="2"/>
      <c r="L573" s="3">
        <v>31.65</v>
      </c>
      <c r="M573" s="3">
        <v>3.16</v>
      </c>
      <c r="N573" s="3">
        <v>1.78</v>
      </c>
      <c r="O573" s="3"/>
      <c r="P573" s="3">
        <f>2.45-2.45</f>
        <v>0</v>
      </c>
      <c r="Q573" s="6">
        <f t="shared" ref="Q573:Q574" si="1294">+L573-M573-N573+P573</f>
        <v>26.709999999999997</v>
      </c>
      <c r="R573" s="3"/>
      <c r="S573" s="3">
        <v>15.99</v>
      </c>
      <c r="T573" s="3">
        <v>0.95</v>
      </c>
      <c r="U573" s="3"/>
      <c r="V573" s="3"/>
      <c r="W573" s="3"/>
      <c r="X573" s="2">
        <f t="shared" ref="X573:X574" si="1295">+S573+T573++U573+V573-W573</f>
        <v>16.940000000000001</v>
      </c>
      <c r="Y573" s="6">
        <f t="shared" ref="Y573:Y574" si="1296">+Q573-X573</f>
        <v>9.769999999999996</v>
      </c>
      <c r="Z573" s="2"/>
      <c r="AA573" s="2"/>
      <c r="AB573" s="2"/>
      <c r="AC573" s="3"/>
      <c r="AD573" s="2"/>
      <c r="AE573" s="2"/>
      <c r="AF573" s="2"/>
      <c r="AG573" s="2"/>
      <c r="AH573" s="2" t="s">
        <v>4867</v>
      </c>
      <c r="AI573" s="2" t="s">
        <v>4866</v>
      </c>
      <c r="AJ573" s="2"/>
      <c r="AK573" s="2"/>
      <c r="AL573" s="2" t="s">
        <v>4911</v>
      </c>
      <c r="AM573" s="2" t="s">
        <v>5185</v>
      </c>
      <c r="AN573" s="2"/>
      <c r="AO573" s="2" t="s">
        <v>4930</v>
      </c>
      <c r="AP573" s="2" t="s">
        <v>4932</v>
      </c>
      <c r="AQ573" s="2"/>
      <c r="AR573" s="16" t="s">
        <v>4931</v>
      </c>
      <c r="AS573" s="16" t="s">
        <v>4976</v>
      </c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</row>
    <row r="574" spans="3:58" ht="17.25" customHeight="1">
      <c r="C574" s="1">
        <v>43976</v>
      </c>
      <c r="E574" s="2" t="s">
        <v>7</v>
      </c>
      <c r="F574" s="15"/>
      <c r="G574" s="2" t="s">
        <v>4865</v>
      </c>
      <c r="H574" s="2" t="s">
        <v>4864</v>
      </c>
      <c r="I574" s="2"/>
      <c r="J574" s="2">
        <v>1</v>
      </c>
      <c r="K574" s="2"/>
      <c r="L574" s="3">
        <v>31.5</v>
      </c>
      <c r="M574" s="3">
        <v>3.15</v>
      </c>
      <c r="N574" s="3">
        <v>1.77</v>
      </c>
      <c r="O574" s="3"/>
      <c r="P574" s="3">
        <f>1.89-1.89</f>
        <v>0</v>
      </c>
      <c r="Q574" s="6">
        <f t="shared" si="1294"/>
        <v>26.580000000000002</v>
      </c>
      <c r="R574" s="3"/>
      <c r="S574" s="3">
        <v>17.98</v>
      </c>
      <c r="T574" s="3">
        <v>1.08</v>
      </c>
      <c r="U574" s="3">
        <v>0</v>
      </c>
      <c r="V574" s="3"/>
      <c r="W574" s="3"/>
      <c r="X574" s="2">
        <f t="shared" si="1295"/>
        <v>19.060000000000002</v>
      </c>
      <c r="Y574" s="6">
        <f t="shared" si="1296"/>
        <v>7.52</v>
      </c>
      <c r="Z574" s="2"/>
      <c r="AA574" s="2"/>
      <c r="AB574" s="2"/>
      <c r="AC574" s="3"/>
      <c r="AD574" s="2"/>
      <c r="AE574" s="2"/>
      <c r="AF574" s="2"/>
      <c r="AG574" s="2"/>
      <c r="AH574" s="2" t="s">
        <v>4873</v>
      </c>
      <c r="AI574" s="2" t="s">
        <v>4872</v>
      </c>
      <c r="AJ574" s="2"/>
      <c r="AK574" s="2"/>
      <c r="AL574" s="2" t="s">
        <v>4609</v>
      </c>
      <c r="AM574" s="16" t="s">
        <v>4925</v>
      </c>
      <c r="AN574" s="2"/>
      <c r="AO574" s="2" t="s">
        <v>4874</v>
      </c>
      <c r="AP574" s="2" t="s">
        <v>4643</v>
      </c>
      <c r="AQ574" s="2"/>
      <c r="AR574" s="16" t="s">
        <v>4875</v>
      </c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</row>
    <row r="575" spans="3:58" ht="17.25" customHeight="1">
      <c r="C575" s="1">
        <v>43976</v>
      </c>
      <c r="E575" s="2" t="s">
        <v>4505</v>
      </c>
      <c r="F575" s="15"/>
      <c r="G575" s="2" t="s">
        <v>4857</v>
      </c>
      <c r="H575" s="2" t="s">
        <v>4856</v>
      </c>
      <c r="I575" s="2"/>
      <c r="J575" s="2">
        <v>1</v>
      </c>
      <c r="K575" s="2"/>
      <c r="L575" s="3">
        <v>31.65</v>
      </c>
      <c r="M575" s="3">
        <v>3.16</v>
      </c>
      <c r="N575" s="3">
        <v>1.69</v>
      </c>
      <c r="O575" s="3"/>
      <c r="P575" s="3">
        <f>1.9-1.9</f>
        <v>0</v>
      </c>
      <c r="Q575" s="6">
        <f t="shared" ref="Q575" si="1297">+L575-M575-N575+P575</f>
        <v>26.799999999999997</v>
      </c>
      <c r="R575" s="3"/>
      <c r="S575" s="3">
        <v>15.99</v>
      </c>
      <c r="T575" s="3">
        <v>0</v>
      </c>
      <c r="U575" s="3"/>
      <c r="V575" s="3"/>
      <c r="W575" s="3"/>
      <c r="X575" s="2">
        <f t="shared" ref="X575" si="1298">+S575+T575++U575+V575-W575</f>
        <v>15.99</v>
      </c>
      <c r="Y575" s="6">
        <f t="shared" ref="Y575" si="1299">+Q575-X575</f>
        <v>10.809999999999997</v>
      </c>
      <c r="Z575" s="2"/>
      <c r="AA575" s="2"/>
      <c r="AB575" s="2"/>
      <c r="AC575" s="3"/>
      <c r="AD575" s="2"/>
      <c r="AE575" s="2"/>
      <c r="AF575" s="2"/>
      <c r="AG575" s="2"/>
      <c r="AH575" s="2" t="s">
        <v>4861</v>
      </c>
      <c r="AI575" s="2" t="s">
        <v>4860</v>
      </c>
      <c r="AJ575" s="2"/>
      <c r="AK575" s="2"/>
      <c r="AL575" s="2" t="s">
        <v>4949</v>
      </c>
      <c r="AM575" s="16" t="s">
        <v>4948</v>
      </c>
      <c r="AN575" s="2"/>
      <c r="AO575" s="2" t="s">
        <v>4928</v>
      </c>
      <c r="AP575" s="2" t="s">
        <v>4927</v>
      </c>
      <c r="AQ575" s="2"/>
      <c r="AR575" s="16" t="s">
        <v>4929</v>
      </c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</row>
    <row r="576" spans="3:58" ht="17.25" customHeight="1">
      <c r="C576" s="1">
        <v>43976</v>
      </c>
      <c r="E576" s="2" t="s">
        <v>4505</v>
      </c>
      <c r="F576" s="15"/>
      <c r="G576" s="2" t="s">
        <v>5834</v>
      </c>
      <c r="H576" s="5" t="s">
        <v>5203</v>
      </c>
      <c r="I576" s="2"/>
      <c r="J576" s="2">
        <v>1</v>
      </c>
      <c r="K576" s="2"/>
      <c r="L576" s="3">
        <v>0</v>
      </c>
      <c r="M576" s="3">
        <v>0</v>
      </c>
      <c r="N576" s="3">
        <v>0</v>
      </c>
      <c r="O576" s="3"/>
      <c r="P576" s="3">
        <f>1.42-1.42</f>
        <v>0</v>
      </c>
      <c r="Q576" s="6">
        <f t="shared" ref="Q576" si="1300">+L576-M576-N576+P576</f>
        <v>0</v>
      </c>
      <c r="R576" s="3"/>
      <c r="S576" s="3">
        <v>0</v>
      </c>
      <c r="T576" s="3">
        <v>0</v>
      </c>
      <c r="U576" s="3"/>
      <c r="V576" s="3"/>
      <c r="W576" s="3"/>
      <c r="X576" s="2">
        <f t="shared" ref="X576" si="1301">+S576+T576++U576+V576-W576</f>
        <v>0</v>
      </c>
      <c r="Y576" s="6">
        <f t="shared" ref="Y576" si="1302">+Q576-X576</f>
        <v>0</v>
      </c>
      <c r="Z576" s="2"/>
      <c r="AA576" s="2"/>
      <c r="AB576" s="2"/>
      <c r="AC576" s="3"/>
      <c r="AD576" s="2"/>
      <c r="AE576" s="2"/>
      <c r="AF576" s="2"/>
      <c r="AG576" s="2"/>
      <c r="AH576" s="2" t="s">
        <v>4859</v>
      </c>
      <c r="AI576" s="2" t="s">
        <v>4858</v>
      </c>
      <c r="AJ576" s="2"/>
      <c r="AK576" s="2"/>
      <c r="AL576" s="2" t="s">
        <v>5460</v>
      </c>
      <c r="AM576" s="16" t="s">
        <v>5510</v>
      </c>
      <c r="AN576" s="2"/>
      <c r="AO576" s="2" t="s">
        <v>5135</v>
      </c>
      <c r="AP576" s="2" t="s">
        <v>4932</v>
      </c>
      <c r="AQ576" s="2"/>
      <c r="AR576" s="16" t="s">
        <v>5136</v>
      </c>
      <c r="AS576" s="2"/>
      <c r="AT576" s="2"/>
      <c r="AU576" s="2" t="s">
        <v>5201</v>
      </c>
      <c r="AV576" s="2" t="s">
        <v>5953</v>
      </c>
      <c r="AW576" s="2" t="s">
        <v>6034</v>
      </c>
      <c r="AX576" s="2"/>
      <c r="AY576" s="2"/>
      <c r="AZ576" s="2"/>
      <c r="BA576" s="2"/>
      <c r="BB576" s="2"/>
      <c r="BC576" s="2"/>
      <c r="BD576" s="2"/>
      <c r="BE576" s="2"/>
      <c r="BF576" s="2"/>
    </row>
    <row r="577" spans="3:58" ht="17.25" customHeight="1">
      <c r="C577" s="1">
        <v>43976</v>
      </c>
      <c r="E577" s="2" t="s">
        <v>4505</v>
      </c>
      <c r="F577" s="15"/>
      <c r="G577" s="2" t="s">
        <v>4852</v>
      </c>
      <c r="H577" s="2" t="s">
        <v>5199</v>
      </c>
      <c r="I577" s="2"/>
      <c r="J577" s="2">
        <v>1</v>
      </c>
      <c r="K577" s="2"/>
      <c r="L577" s="3">
        <v>0</v>
      </c>
      <c r="M577" s="3">
        <v>0</v>
      </c>
      <c r="N577" s="3">
        <v>0</v>
      </c>
      <c r="O577" s="3"/>
      <c r="P577" s="3">
        <f>1.9-1.9</f>
        <v>0</v>
      </c>
      <c r="Q577" s="6">
        <f t="shared" ref="Q577" si="1303">+L577-M577-N577+P577</f>
        <v>0</v>
      </c>
      <c r="R577" s="3"/>
      <c r="S577" s="3">
        <v>0</v>
      </c>
      <c r="T577" s="3">
        <v>0</v>
      </c>
      <c r="U577" s="3"/>
      <c r="V577" s="3"/>
      <c r="W577" s="3"/>
      <c r="X577" s="2">
        <f t="shared" ref="X577" si="1304">+S577+T577++U577+V577-W577</f>
        <v>0</v>
      </c>
      <c r="Y577" s="6">
        <f t="shared" ref="Y577" si="1305">+Q577-X577</f>
        <v>0</v>
      </c>
      <c r="Z577" s="2"/>
      <c r="AA577" s="2"/>
      <c r="AB577" s="2"/>
      <c r="AC577" s="3"/>
      <c r="AD577" s="2"/>
      <c r="AE577" s="2"/>
      <c r="AF577" s="2"/>
      <c r="AG577" s="2"/>
      <c r="AH577" s="2" t="s">
        <v>4854</v>
      </c>
      <c r="AI577" s="2" t="s">
        <v>4853</v>
      </c>
      <c r="AJ577" s="2"/>
      <c r="AK577" s="2"/>
      <c r="AL577" s="2"/>
      <c r="AM577" s="5" t="s">
        <v>4625</v>
      </c>
      <c r="AN577" s="2"/>
      <c r="AO577" s="5" t="s">
        <v>4625</v>
      </c>
      <c r="AP577" s="2" t="s">
        <v>4713</v>
      </c>
      <c r="AQ577" s="2"/>
      <c r="AR577" s="2"/>
      <c r="AS577" s="2"/>
      <c r="AT577" s="2"/>
      <c r="AU577" s="2" t="s">
        <v>5200</v>
      </c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</row>
    <row r="578" spans="3:58" ht="17.25" customHeight="1">
      <c r="C578" s="1">
        <v>43976</v>
      </c>
      <c r="E578" s="2" t="s">
        <v>7</v>
      </c>
      <c r="F578" s="15"/>
      <c r="G578" s="2" t="s">
        <v>5062</v>
      </c>
      <c r="H578" s="2" t="s">
        <v>5856</v>
      </c>
      <c r="I578" s="2"/>
      <c r="J578" s="2">
        <v>1</v>
      </c>
      <c r="K578" s="2"/>
      <c r="L578" s="3">
        <v>0</v>
      </c>
      <c r="M578" s="3">
        <v>0</v>
      </c>
      <c r="N578" s="3">
        <v>0</v>
      </c>
      <c r="O578" s="3"/>
      <c r="P578" s="3">
        <v>0</v>
      </c>
      <c r="Q578" s="6">
        <f t="shared" ref="Q578" si="1306">+L578-M578-N578+P578</f>
        <v>0</v>
      </c>
      <c r="R578" s="3"/>
      <c r="S578" s="3">
        <v>0</v>
      </c>
      <c r="T578" s="3">
        <v>0</v>
      </c>
      <c r="U578" s="3">
        <v>0</v>
      </c>
      <c r="V578" s="3"/>
      <c r="W578" s="3"/>
      <c r="X578" s="2">
        <f t="shared" ref="X578" si="1307">+S578+T578++U578+V578-W578</f>
        <v>0</v>
      </c>
      <c r="Y578" s="6">
        <f t="shared" ref="Y578" si="1308">+Q578-X578</f>
        <v>0</v>
      </c>
      <c r="Z578" s="2"/>
      <c r="AA578" s="2"/>
      <c r="AB578" s="2"/>
      <c r="AC578" s="3"/>
      <c r="AD578" s="2"/>
      <c r="AE578" s="2"/>
      <c r="AF578" s="2"/>
      <c r="AG578" s="2"/>
      <c r="AH578" s="2" t="s">
        <v>4840</v>
      </c>
      <c r="AI578" s="2" t="s">
        <v>4839</v>
      </c>
      <c r="AJ578" s="2"/>
      <c r="AK578" s="2"/>
      <c r="AL578" s="2"/>
      <c r="AM578" s="5" t="s">
        <v>5858</v>
      </c>
      <c r="AN578" s="2"/>
      <c r="AO578" s="5" t="s">
        <v>5858</v>
      </c>
      <c r="AP578" s="2" t="s">
        <v>16</v>
      </c>
      <c r="AQ578" s="2"/>
      <c r="AR578" s="2" t="s">
        <v>4579</v>
      </c>
      <c r="AS578" s="2"/>
      <c r="AT578" s="2"/>
      <c r="AU578" s="5" t="s">
        <v>5202</v>
      </c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</row>
    <row r="579" spans="3:58" ht="17.25" customHeight="1">
      <c r="C579" s="1">
        <v>43976</v>
      </c>
      <c r="E579" s="2" t="s">
        <v>7</v>
      </c>
      <c r="F579" s="15"/>
      <c r="G579" s="2" t="s">
        <v>4827</v>
      </c>
      <c r="H579" s="2" t="s">
        <v>4826</v>
      </c>
      <c r="I579" s="2"/>
      <c r="J579" s="2">
        <v>1</v>
      </c>
      <c r="K579" s="2"/>
      <c r="L579" s="3">
        <v>31.5</v>
      </c>
      <c r="M579" s="3">
        <v>3.15</v>
      </c>
      <c r="N579" s="3">
        <v>1.77</v>
      </c>
      <c r="O579" s="3"/>
      <c r="P579" s="3">
        <f>2-2</f>
        <v>0</v>
      </c>
      <c r="Q579" s="6">
        <f t="shared" ref="Q579" si="1309">+L579-M579-N579+P579</f>
        <v>26.580000000000002</v>
      </c>
      <c r="R579" s="3"/>
      <c r="S579" s="3">
        <v>17.98</v>
      </c>
      <c r="T579" s="3">
        <v>1.1399999999999999</v>
      </c>
      <c r="U579" s="3">
        <v>0</v>
      </c>
      <c r="V579" s="3"/>
      <c r="W579" s="3"/>
      <c r="X579" s="2">
        <f t="shared" ref="X579" si="1310">+S579+T579++U579+V579-W579</f>
        <v>19.12</v>
      </c>
      <c r="Y579" s="6">
        <f t="shared" ref="Y579" si="1311">+Q579-X579</f>
        <v>7.4600000000000009</v>
      </c>
      <c r="Z579" s="2"/>
      <c r="AA579" s="2"/>
      <c r="AB579" s="2"/>
      <c r="AC579" s="3"/>
      <c r="AD579" s="2"/>
      <c r="AE579" s="2"/>
      <c r="AF579" s="2"/>
      <c r="AG579" s="2"/>
      <c r="AH579" s="2" t="s">
        <v>4829</v>
      </c>
      <c r="AI579" s="2" t="s">
        <v>4828</v>
      </c>
      <c r="AJ579" s="2"/>
      <c r="AK579" s="2"/>
      <c r="AL579" s="2" t="s">
        <v>4609</v>
      </c>
      <c r="AM579" s="16" t="s">
        <v>4924</v>
      </c>
      <c r="AN579" s="2"/>
      <c r="AO579" s="2" t="s">
        <v>4830</v>
      </c>
      <c r="AP579" s="2" t="s">
        <v>4643</v>
      </c>
      <c r="AQ579" s="2"/>
      <c r="AR579" s="16" t="s">
        <v>4644</v>
      </c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</row>
    <row r="580" spans="3:58" ht="17.25" customHeight="1">
      <c r="C580" s="1">
        <v>43976</v>
      </c>
      <c r="E580" s="2" t="s">
        <v>1952</v>
      </c>
      <c r="F580" s="15"/>
      <c r="G580" s="2" t="s">
        <v>4810</v>
      </c>
      <c r="H580" s="2" t="s">
        <v>4809</v>
      </c>
      <c r="I580" s="2"/>
      <c r="J580" s="2">
        <v>1</v>
      </c>
      <c r="K580" s="2"/>
      <c r="L580" s="3">
        <v>18.95</v>
      </c>
      <c r="M580" s="3">
        <v>1.89</v>
      </c>
      <c r="N580" s="3">
        <v>1.19</v>
      </c>
      <c r="O580" s="3"/>
      <c r="P580" s="3">
        <f>1.33-1.33</f>
        <v>0</v>
      </c>
      <c r="Q580" s="6">
        <f t="shared" ref="Q580:Q581" si="1312">+L580-M580-N580+P580</f>
        <v>15.87</v>
      </c>
      <c r="R580" s="3"/>
      <c r="S580" s="3">
        <v>12.3</v>
      </c>
      <c r="T580" s="3">
        <v>0.86</v>
      </c>
      <c r="U580" s="3"/>
      <c r="V580" s="3"/>
      <c r="W580" s="3">
        <v>1.23</v>
      </c>
      <c r="X580" s="2">
        <f t="shared" ref="X580:X581" si="1313">+S580+T580++U580+V580-W580</f>
        <v>11.93</v>
      </c>
      <c r="Y580" s="6">
        <f t="shared" ref="Y580:Y581" si="1314">+Q580-X580</f>
        <v>3.9399999999999995</v>
      </c>
      <c r="Z580" s="6">
        <f>SUM(Y565:Y580)</f>
        <v>108.32</v>
      </c>
      <c r="AA580" s="2"/>
      <c r="AB580" s="2"/>
      <c r="AC580" s="3"/>
      <c r="AD580" s="2"/>
      <c r="AE580" s="2"/>
      <c r="AF580" s="2"/>
      <c r="AG580" s="2"/>
      <c r="AH580" s="2" t="s">
        <v>4818</v>
      </c>
      <c r="AI580" s="2" t="s">
        <v>4817</v>
      </c>
      <c r="AJ580" s="2"/>
      <c r="AK580" s="2"/>
      <c r="AL580" s="2" t="s">
        <v>4571</v>
      </c>
      <c r="AM580" s="16" t="s">
        <v>4942</v>
      </c>
      <c r="AN580" s="2"/>
      <c r="AO580" s="2" t="s">
        <v>4843</v>
      </c>
      <c r="AP580" s="2" t="s">
        <v>3252</v>
      </c>
      <c r="AQ580" s="2"/>
      <c r="AR580" s="16" t="s">
        <v>4842</v>
      </c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</row>
    <row r="581" spans="3:58" ht="17.25" customHeight="1">
      <c r="C581" s="1">
        <v>43975</v>
      </c>
      <c r="E581" s="2" t="s">
        <v>4803</v>
      </c>
      <c r="F581" s="15"/>
      <c r="G581" s="2" t="s">
        <v>4808</v>
      </c>
      <c r="H581" s="2" t="s">
        <v>4807</v>
      </c>
      <c r="I581" s="2"/>
      <c r="J581" s="2">
        <v>1</v>
      </c>
      <c r="K581" s="2"/>
      <c r="L581" s="3">
        <v>83.5</v>
      </c>
      <c r="M581" s="3">
        <v>8.35</v>
      </c>
      <c r="N581" s="3">
        <v>4.2300000000000004</v>
      </c>
      <c r="O581" s="3">
        <v>0</v>
      </c>
      <c r="P581" s="3">
        <f>5.85-5.85</f>
        <v>0</v>
      </c>
      <c r="Q581" s="6">
        <f t="shared" si="1312"/>
        <v>70.92</v>
      </c>
      <c r="R581" s="3"/>
      <c r="S581" s="3">
        <v>65.19</v>
      </c>
      <c r="T581" s="3">
        <v>4.5599999999999996</v>
      </c>
      <c r="U581" s="3"/>
      <c r="V581" s="3"/>
      <c r="W581" s="3">
        <f>6.51+0.45</f>
        <v>6.96</v>
      </c>
      <c r="X581" s="2">
        <f t="shared" si="1313"/>
        <v>62.79</v>
      </c>
      <c r="Y581" s="6">
        <f t="shared" si="1314"/>
        <v>8.1300000000000026</v>
      </c>
      <c r="Z581" s="2"/>
      <c r="AA581" s="2"/>
      <c r="AB581" s="2"/>
      <c r="AC581" s="3"/>
      <c r="AD581" s="2"/>
      <c r="AE581" s="2"/>
      <c r="AF581" s="2"/>
      <c r="AG581" s="2"/>
      <c r="AH581" s="2" t="s">
        <v>4822</v>
      </c>
      <c r="AI581" s="2" t="s">
        <v>4821</v>
      </c>
      <c r="AJ581" s="2"/>
      <c r="AK581" s="2"/>
      <c r="AL581" s="2" t="s">
        <v>4609</v>
      </c>
      <c r="AM581" s="16" t="s">
        <v>5362</v>
      </c>
      <c r="AN581" s="2">
        <v>1</v>
      </c>
      <c r="AO581" s="2" t="s">
        <v>5317</v>
      </c>
      <c r="AP581" s="2" t="s">
        <v>3696</v>
      </c>
      <c r="AQ581" s="2"/>
      <c r="AR581" s="16" t="s">
        <v>5316</v>
      </c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</row>
    <row r="582" spans="3:58" ht="17.25" customHeight="1">
      <c r="C582" s="1">
        <v>43975</v>
      </c>
      <c r="E582" s="2" t="s">
        <v>4578</v>
      </c>
      <c r="F582" s="15"/>
      <c r="G582" s="2" t="s">
        <v>4806</v>
      </c>
      <c r="H582" s="2" t="s">
        <v>5991</v>
      </c>
      <c r="I582" s="2"/>
      <c r="J582" s="2">
        <v>1</v>
      </c>
      <c r="K582" s="2"/>
      <c r="L582" s="3">
        <v>0</v>
      </c>
      <c r="M582" s="3">
        <v>0</v>
      </c>
      <c r="N582" s="3">
        <v>0</v>
      </c>
      <c r="O582" s="3"/>
      <c r="P582" s="3">
        <f>4.14-4.14</f>
        <v>0</v>
      </c>
      <c r="Q582" s="6">
        <f t="shared" ref="Q582" si="1315">+L582-M582-N582+P582</f>
        <v>0</v>
      </c>
      <c r="R582" s="3"/>
      <c r="S582" s="3">
        <v>0</v>
      </c>
      <c r="T582" s="3">
        <v>0</v>
      </c>
      <c r="U582" s="3">
        <v>0</v>
      </c>
      <c r="V582" s="3"/>
      <c r="W582" s="3"/>
      <c r="X582" s="2">
        <f t="shared" ref="X582" si="1316">+S582+T582++U582+V582-W582</f>
        <v>0</v>
      </c>
      <c r="Y582" s="6">
        <f t="shared" ref="Y582" si="1317">+Q582-X582</f>
        <v>0</v>
      </c>
      <c r="Z582" s="2"/>
      <c r="AA582" s="2"/>
      <c r="AB582" s="2"/>
      <c r="AC582" s="3"/>
      <c r="AD582" s="2"/>
      <c r="AE582" s="2"/>
      <c r="AF582" s="2"/>
      <c r="AG582" s="2"/>
      <c r="AH582" s="2" t="s">
        <v>4816</v>
      </c>
      <c r="AI582" s="2" t="s">
        <v>4815</v>
      </c>
      <c r="AJ582" s="2"/>
      <c r="AK582" s="2"/>
      <c r="AL582" s="2"/>
      <c r="AM582" s="5" t="s">
        <v>493</v>
      </c>
      <c r="AN582" s="2"/>
      <c r="AO582" s="5" t="s">
        <v>493</v>
      </c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</row>
    <row r="583" spans="3:58" ht="17.25" customHeight="1">
      <c r="C583" s="1">
        <v>43975</v>
      </c>
      <c r="E583" s="2" t="s">
        <v>4578</v>
      </c>
      <c r="F583" s="15"/>
      <c r="G583" s="2" t="s">
        <v>4805</v>
      </c>
      <c r="H583" s="2" t="s">
        <v>4804</v>
      </c>
      <c r="I583" s="2"/>
      <c r="J583" s="2">
        <v>1</v>
      </c>
      <c r="K583" s="2"/>
      <c r="L583" s="3">
        <v>62.5</v>
      </c>
      <c r="M583" s="3">
        <v>6.25</v>
      </c>
      <c r="N583" s="3">
        <v>3.24</v>
      </c>
      <c r="O583" s="3"/>
      <c r="P583" s="3">
        <f>4.38-4.38</f>
        <v>0</v>
      </c>
      <c r="Q583" s="6">
        <f t="shared" ref="Q583" si="1318">+L583-M583-N583+P583</f>
        <v>53.01</v>
      </c>
      <c r="R583" s="3"/>
      <c r="S583" s="3">
        <v>38.979999999999997</v>
      </c>
      <c r="T583" s="3">
        <v>3.02</v>
      </c>
      <c r="U583" s="3">
        <v>0</v>
      </c>
      <c r="V583" s="3"/>
      <c r="W583" s="3"/>
      <c r="X583" s="2">
        <f t="shared" ref="X583" si="1319">+S583+T583++U583+V583-W583</f>
        <v>42</v>
      </c>
      <c r="Y583" s="6">
        <f t="shared" ref="Y583" si="1320">+Q583-X583</f>
        <v>11.009999999999998</v>
      </c>
      <c r="Z583" s="2"/>
      <c r="AA583" s="2"/>
      <c r="AB583" s="2"/>
      <c r="AC583" s="3"/>
      <c r="AD583" s="2"/>
      <c r="AE583" s="2"/>
      <c r="AF583" s="2"/>
      <c r="AG583" s="2"/>
      <c r="AH583" s="2" t="s">
        <v>4814</v>
      </c>
      <c r="AI583" s="2" t="s">
        <v>4813</v>
      </c>
      <c r="AJ583" s="2"/>
      <c r="AK583" s="2"/>
      <c r="AL583" s="2" t="s">
        <v>3071</v>
      </c>
      <c r="AM583" s="16" t="s">
        <v>6016</v>
      </c>
      <c r="AN583" s="2"/>
      <c r="AO583" s="2" t="s">
        <v>5994</v>
      </c>
      <c r="AP583" s="2" t="s">
        <v>6018</v>
      </c>
      <c r="AQ583" s="2"/>
      <c r="AR583" s="16" t="s">
        <v>5989</v>
      </c>
      <c r="AS583" s="2" t="s">
        <v>6112</v>
      </c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</row>
    <row r="584" spans="3:58" ht="17.25" customHeight="1">
      <c r="C584" s="1">
        <v>43975</v>
      </c>
      <c r="E584" s="2" t="s">
        <v>1952</v>
      </c>
      <c r="F584" s="15"/>
      <c r="G584" s="2" t="s">
        <v>4793</v>
      </c>
      <c r="H584" s="2" t="s">
        <v>4792</v>
      </c>
      <c r="I584" s="2"/>
      <c r="J584" s="2">
        <v>1</v>
      </c>
      <c r="K584" s="2"/>
      <c r="L584" s="3">
        <v>18.95</v>
      </c>
      <c r="M584" s="3">
        <v>1.89</v>
      </c>
      <c r="N584" s="3">
        <v>1.18</v>
      </c>
      <c r="O584" s="3"/>
      <c r="P584" s="3">
        <f>1.06-1.06</f>
        <v>0</v>
      </c>
      <c r="Q584" s="6">
        <f t="shared" ref="Q584" si="1321">+L584-M584-N584+P584</f>
        <v>15.879999999999999</v>
      </c>
      <c r="R584" s="3"/>
      <c r="S584" s="3">
        <v>12.3</v>
      </c>
      <c r="T584" s="3">
        <v>0.77</v>
      </c>
      <c r="U584" s="3"/>
      <c r="V584" s="3"/>
      <c r="W584" s="3">
        <v>1.23</v>
      </c>
      <c r="X584" s="2">
        <f t="shared" ref="X584" si="1322">+S584+T584++U584+V584-W584</f>
        <v>11.84</v>
      </c>
      <c r="Y584" s="6">
        <f t="shared" ref="Y584" si="1323">+Q584-X584</f>
        <v>4.0399999999999991</v>
      </c>
      <c r="Z584" s="2"/>
      <c r="AA584" s="2"/>
      <c r="AB584" s="2"/>
      <c r="AC584" s="3"/>
      <c r="AD584" s="2"/>
      <c r="AE584" s="2"/>
      <c r="AF584" s="2"/>
      <c r="AG584" s="2"/>
      <c r="AH584" s="2" t="s">
        <v>4820</v>
      </c>
      <c r="AI584" s="2" t="s">
        <v>4819</v>
      </c>
      <c r="AJ584" s="2"/>
      <c r="AK584" s="2"/>
      <c r="AL584" s="2" t="s">
        <v>4911</v>
      </c>
      <c r="AM584" s="2" t="s">
        <v>5039</v>
      </c>
      <c r="AN584" s="2"/>
      <c r="AO584" s="2" t="s">
        <v>4841</v>
      </c>
      <c r="AP584" s="2" t="s">
        <v>3252</v>
      </c>
      <c r="AQ584" s="2"/>
      <c r="AR584" s="16" t="s">
        <v>4842</v>
      </c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</row>
    <row r="585" spans="3:58" ht="17.25" customHeight="1">
      <c r="C585" s="1">
        <v>43975</v>
      </c>
      <c r="E585" s="2" t="s">
        <v>4578</v>
      </c>
      <c r="F585" s="15"/>
      <c r="G585" s="2" t="s">
        <v>4789</v>
      </c>
      <c r="H585" s="2" t="s">
        <v>5511</v>
      </c>
      <c r="I585" s="2"/>
      <c r="J585" s="2">
        <v>1</v>
      </c>
      <c r="K585" s="2"/>
      <c r="L585" s="3">
        <v>0</v>
      </c>
      <c r="M585" s="3">
        <v>0</v>
      </c>
      <c r="N585" s="3">
        <v>0</v>
      </c>
      <c r="O585" s="3"/>
      <c r="P585" s="3">
        <f>4.84-4.84</f>
        <v>0</v>
      </c>
      <c r="Q585" s="6">
        <f t="shared" ref="Q585" si="1324">+L585-M585-N585+P585</f>
        <v>0</v>
      </c>
      <c r="R585" s="3"/>
      <c r="S585" s="3">
        <v>0</v>
      </c>
      <c r="T585" s="3">
        <v>0</v>
      </c>
      <c r="U585" s="3">
        <v>0</v>
      </c>
      <c r="V585" s="3"/>
      <c r="W585" s="3"/>
      <c r="X585" s="2">
        <f t="shared" ref="X585" si="1325">+S585+T585++U585+V585-W585</f>
        <v>0</v>
      </c>
      <c r="Y585" s="6">
        <f t="shared" ref="Y585" si="1326">+Q585-X585</f>
        <v>0</v>
      </c>
      <c r="Z585" s="2"/>
      <c r="AA585" s="2"/>
      <c r="AB585" s="2"/>
      <c r="AC585" s="3"/>
      <c r="AD585" s="2"/>
      <c r="AE585" s="2"/>
      <c r="AF585" s="2"/>
      <c r="AG585" s="2"/>
      <c r="AH585" s="2" t="s">
        <v>4791</v>
      </c>
      <c r="AI585" s="2" t="s">
        <v>4790</v>
      </c>
      <c r="AJ585" s="2"/>
      <c r="AK585" s="2"/>
      <c r="AL585" s="2"/>
      <c r="AM585" s="5" t="s">
        <v>5528</v>
      </c>
      <c r="AN585" s="2"/>
      <c r="AO585" s="5" t="s">
        <v>5528</v>
      </c>
      <c r="AP585" s="2"/>
      <c r="AQ585" s="2"/>
      <c r="AR585" s="2"/>
      <c r="AS585" s="2"/>
      <c r="AT585" s="2"/>
      <c r="AU585" s="2" t="s">
        <v>5512</v>
      </c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</row>
    <row r="586" spans="3:58" ht="17.25" customHeight="1">
      <c r="C586" s="1">
        <v>43975</v>
      </c>
      <c r="E586" s="2" t="s">
        <v>7</v>
      </c>
      <c r="F586" s="15"/>
      <c r="G586" s="2" t="s">
        <v>4780</v>
      </c>
      <c r="H586" s="2" t="s">
        <v>4779</v>
      </c>
      <c r="I586" s="2"/>
      <c r="J586" s="2">
        <v>1</v>
      </c>
      <c r="K586" s="2"/>
      <c r="L586" s="3">
        <v>31.5</v>
      </c>
      <c r="M586" s="3">
        <v>3.15</v>
      </c>
      <c r="N586" s="3">
        <v>1.78</v>
      </c>
      <c r="O586" s="3"/>
      <c r="P586" s="3">
        <v>2.21</v>
      </c>
      <c r="Q586" s="6">
        <f t="shared" ref="Q586:Q588" si="1327">+L586-M586-N586+P586</f>
        <v>28.78</v>
      </c>
      <c r="R586" s="3"/>
      <c r="S586" s="3">
        <v>17.98</v>
      </c>
      <c r="T586" s="3">
        <v>1.26</v>
      </c>
      <c r="U586" s="3">
        <v>0</v>
      </c>
      <c r="V586" s="3"/>
      <c r="W586" s="3"/>
      <c r="X586" s="2">
        <f t="shared" ref="X586:X588" si="1328">+S586+T586++U586+V586-W586</f>
        <v>19.240000000000002</v>
      </c>
      <c r="Y586" s="6">
        <f t="shared" ref="Y586:Y588" si="1329">+Q586-X586</f>
        <v>9.5399999999999991</v>
      </c>
      <c r="Z586" s="2"/>
      <c r="AA586" s="2"/>
      <c r="AB586" s="2"/>
      <c r="AC586" s="3"/>
      <c r="AD586" s="2"/>
      <c r="AE586" s="2"/>
      <c r="AF586" s="2"/>
      <c r="AG586" s="2"/>
      <c r="AH586" s="2" t="s">
        <v>4782</v>
      </c>
      <c r="AI586" s="2" t="s">
        <v>4781</v>
      </c>
      <c r="AJ586" s="2"/>
      <c r="AK586" s="2"/>
      <c r="AL586" s="2" t="s">
        <v>4609</v>
      </c>
      <c r="AM586" s="16" t="s">
        <v>4908</v>
      </c>
      <c r="AN586" s="2"/>
      <c r="AO586" s="2" t="s">
        <v>4802</v>
      </c>
      <c r="AP586" s="2" t="s">
        <v>4643</v>
      </c>
      <c r="AQ586" s="2"/>
      <c r="AR586" s="16" t="s">
        <v>4644</v>
      </c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</row>
    <row r="587" spans="3:58" ht="17.25" customHeight="1">
      <c r="C587" s="1">
        <v>43975</v>
      </c>
      <c r="E587" s="2" t="s">
        <v>4505</v>
      </c>
      <c r="F587" s="15"/>
      <c r="G587" s="2" t="s">
        <v>4778</v>
      </c>
      <c r="H587" s="2" t="s">
        <v>4777</v>
      </c>
      <c r="I587" s="2"/>
      <c r="J587" s="2">
        <v>1</v>
      </c>
      <c r="K587" s="2"/>
      <c r="L587" s="3">
        <v>31.65</v>
      </c>
      <c r="M587" s="3">
        <v>3.16</v>
      </c>
      <c r="N587" s="3">
        <v>1.79</v>
      </c>
      <c r="O587" s="3"/>
      <c r="P587" s="3">
        <v>2.2200000000000002</v>
      </c>
      <c r="Q587" s="6">
        <f t="shared" si="1327"/>
        <v>28.919999999999998</v>
      </c>
      <c r="R587" s="3"/>
      <c r="S587" s="3">
        <v>15.99</v>
      </c>
      <c r="T587" s="3">
        <v>1.1200000000000001</v>
      </c>
      <c r="U587" s="3"/>
      <c r="V587" s="3"/>
      <c r="W587" s="3"/>
      <c r="X587" s="2">
        <f t="shared" si="1328"/>
        <v>17.11</v>
      </c>
      <c r="Y587" s="6">
        <f t="shared" si="1329"/>
        <v>11.809999999999999</v>
      </c>
      <c r="Z587" s="2"/>
      <c r="AA587" s="2"/>
      <c r="AB587" s="2"/>
      <c r="AC587" s="3"/>
      <c r="AD587" s="2"/>
      <c r="AE587" s="2"/>
      <c r="AF587" s="2"/>
      <c r="AG587" s="2"/>
      <c r="AH587" s="2" t="s">
        <v>4784</v>
      </c>
      <c r="AI587" s="2" t="s">
        <v>4783</v>
      </c>
      <c r="AJ587" s="2"/>
      <c r="AK587" s="2"/>
      <c r="AL587" s="2" t="s">
        <v>4911</v>
      </c>
      <c r="AM587" s="2" t="s">
        <v>4910</v>
      </c>
      <c r="AN587" s="2"/>
      <c r="AO587" s="2" t="s">
        <v>4837</v>
      </c>
      <c r="AP587" s="2" t="s">
        <v>4713</v>
      </c>
      <c r="AQ587" s="2"/>
      <c r="AR587" s="16" t="s">
        <v>4838</v>
      </c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</row>
    <row r="588" spans="3:58" ht="17.25" customHeight="1">
      <c r="C588" s="1">
        <v>43975</v>
      </c>
      <c r="E588" s="2" t="s">
        <v>4505</v>
      </c>
      <c r="F588" s="15"/>
      <c r="G588" s="2" t="s">
        <v>4776</v>
      </c>
      <c r="H588" s="2" t="s">
        <v>4775</v>
      </c>
      <c r="I588" s="2"/>
      <c r="J588" s="2">
        <v>1</v>
      </c>
      <c r="K588" s="2"/>
      <c r="L588" s="3">
        <v>31.65</v>
      </c>
      <c r="M588" s="3">
        <v>3.16</v>
      </c>
      <c r="N588" s="3">
        <v>1.81</v>
      </c>
      <c r="O588" s="3"/>
      <c r="P588" s="3">
        <f>2.73-2.73</f>
        <v>0</v>
      </c>
      <c r="Q588" s="6">
        <f t="shared" si="1327"/>
        <v>26.68</v>
      </c>
      <c r="R588" s="3"/>
      <c r="S588" s="3">
        <v>15.99</v>
      </c>
      <c r="T588" s="3">
        <v>1.38</v>
      </c>
      <c r="U588" s="3"/>
      <c r="V588" s="3"/>
      <c r="W588" s="3"/>
      <c r="X588" s="2">
        <f t="shared" si="1328"/>
        <v>17.37</v>
      </c>
      <c r="Y588" s="6">
        <f t="shared" si="1329"/>
        <v>9.3099999999999987</v>
      </c>
      <c r="Z588" s="2"/>
      <c r="AA588" s="2"/>
      <c r="AB588" s="2"/>
      <c r="AC588" s="3"/>
      <c r="AD588" s="2"/>
      <c r="AE588" s="2"/>
      <c r="AF588" s="2"/>
      <c r="AG588" s="2"/>
      <c r="AH588" s="2" t="s">
        <v>4786</v>
      </c>
      <c r="AI588" s="2" t="s">
        <v>4785</v>
      </c>
      <c r="AJ588" s="2"/>
      <c r="AK588" s="2"/>
      <c r="AL588" s="2" t="s">
        <v>4911</v>
      </c>
      <c r="AM588" s="2" t="s">
        <v>4978</v>
      </c>
      <c r="AN588" s="2"/>
      <c r="AO588" s="2" t="s">
        <v>4836</v>
      </c>
      <c r="AP588" s="2" t="s">
        <v>4713</v>
      </c>
      <c r="AQ588" s="2"/>
      <c r="AR588" s="16" t="s">
        <v>4798</v>
      </c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</row>
    <row r="589" spans="3:58" ht="17.25" customHeight="1">
      <c r="C589" s="1">
        <v>43975</v>
      </c>
      <c r="E589" s="2" t="s">
        <v>4578</v>
      </c>
      <c r="F589" s="15"/>
      <c r="G589" s="2" t="s">
        <v>4773</v>
      </c>
      <c r="H589" s="2" t="s">
        <v>4774</v>
      </c>
      <c r="I589" s="2"/>
      <c r="J589" s="2"/>
      <c r="K589" s="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2"/>
      <c r="AA589" s="2"/>
      <c r="AB589" s="2"/>
      <c r="AC589" s="3"/>
      <c r="AD589" s="2"/>
      <c r="AE589" s="2"/>
      <c r="AF589" s="2"/>
      <c r="AG589" s="2"/>
      <c r="AH589" s="5" t="s">
        <v>4625</v>
      </c>
      <c r="AI589" s="5" t="s">
        <v>4742</v>
      </c>
      <c r="AJ589" s="2"/>
      <c r="AK589" s="2"/>
      <c r="AL589" s="2"/>
      <c r="AM589" s="2"/>
      <c r="AN589" s="2"/>
      <c r="AO589" s="5" t="s">
        <v>4742</v>
      </c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</row>
    <row r="590" spans="3:58" ht="17.25" customHeight="1">
      <c r="C590" s="1">
        <v>43975</v>
      </c>
      <c r="E590" s="2" t="s">
        <v>4578</v>
      </c>
      <c r="F590" s="15"/>
      <c r="G590" s="2" t="s">
        <v>4772</v>
      </c>
      <c r="H590" s="2" t="s">
        <v>4771</v>
      </c>
      <c r="I590" s="2"/>
      <c r="J590" s="2">
        <v>1</v>
      </c>
      <c r="K590" s="2"/>
      <c r="L590" s="3">
        <v>62.5</v>
      </c>
      <c r="M590" s="3">
        <v>6.25</v>
      </c>
      <c r="N590" s="3">
        <v>3.3</v>
      </c>
      <c r="O590" s="3"/>
      <c r="P590" s="3">
        <v>5.63</v>
      </c>
      <c r="Q590" s="6">
        <f t="shared" ref="Q590" si="1330">+L590-M590-N590+P590</f>
        <v>58.580000000000005</v>
      </c>
      <c r="R590" s="3"/>
      <c r="S590" s="3">
        <v>40.89</v>
      </c>
      <c r="T590" s="3">
        <v>3.68</v>
      </c>
      <c r="U590" s="3">
        <v>0</v>
      </c>
      <c r="V590" s="3"/>
      <c r="W590" s="3"/>
      <c r="X590" s="2">
        <f t="shared" ref="X590" si="1331">+S590+T590++U590+V590-W590</f>
        <v>44.57</v>
      </c>
      <c r="Y590" s="6">
        <f t="shared" ref="Y590" si="1332">+Q590-X590</f>
        <v>14.010000000000005</v>
      </c>
      <c r="Z590" s="2"/>
      <c r="AA590" s="2"/>
      <c r="AB590" s="2"/>
      <c r="AC590" s="3"/>
      <c r="AD590" s="2"/>
      <c r="AE590" s="2"/>
      <c r="AF590" s="2"/>
      <c r="AG590" s="2"/>
      <c r="AH590" s="2" t="s">
        <v>4788</v>
      </c>
      <c r="AI590" s="2" t="s">
        <v>4787</v>
      </c>
      <c r="AJ590" s="2"/>
      <c r="AK590" s="2"/>
      <c r="AL590" s="2" t="s">
        <v>3071</v>
      </c>
      <c r="AM590" s="16" t="s">
        <v>6110</v>
      </c>
      <c r="AN590" s="2"/>
      <c r="AO590" s="16" t="s">
        <v>6020</v>
      </c>
      <c r="AP590" s="2" t="s">
        <v>6018</v>
      </c>
      <c r="AQ590" s="2"/>
      <c r="AR590" s="16" t="s">
        <v>5989</v>
      </c>
      <c r="AS590" s="2" t="s">
        <v>6111</v>
      </c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</row>
    <row r="591" spans="3:58" ht="17.25" customHeight="1">
      <c r="C591" s="1">
        <v>43975</v>
      </c>
      <c r="E591" s="2" t="s">
        <v>4578</v>
      </c>
      <c r="F591" s="15"/>
      <c r="G591" s="2" t="s">
        <v>5668</v>
      </c>
      <c r="H591" s="2" t="s">
        <v>5992</v>
      </c>
      <c r="I591" s="2"/>
      <c r="J591" s="2">
        <v>1</v>
      </c>
      <c r="K591" s="2"/>
      <c r="L591" s="3">
        <v>0</v>
      </c>
      <c r="M591" s="3">
        <v>0</v>
      </c>
      <c r="N591" s="3">
        <v>0</v>
      </c>
      <c r="O591" s="3"/>
      <c r="P591" s="3">
        <f>3.75-3.75</f>
        <v>0</v>
      </c>
      <c r="Q591" s="6">
        <f t="shared" ref="Q591" si="1333">+L591-M591-N591+P591</f>
        <v>0</v>
      </c>
      <c r="R591" s="3"/>
      <c r="S591" s="3">
        <v>0</v>
      </c>
      <c r="T591" s="3">
        <v>0</v>
      </c>
      <c r="U591" s="3">
        <v>0</v>
      </c>
      <c r="V591" s="3"/>
      <c r="W591" s="3"/>
      <c r="X591" s="2">
        <f t="shared" ref="X591" si="1334">+S591+T591++U591+V591-W591</f>
        <v>0</v>
      </c>
      <c r="Y591" s="6">
        <f t="shared" ref="Y591" si="1335">+Q591-X591</f>
        <v>0</v>
      </c>
      <c r="Z591" s="2"/>
      <c r="AA591" s="2"/>
      <c r="AB591" s="2"/>
      <c r="AC591" s="3"/>
      <c r="AD591" s="2"/>
      <c r="AE591" s="2"/>
      <c r="AF591" s="2"/>
      <c r="AG591" s="2"/>
      <c r="AH591" s="2" t="s">
        <v>4761</v>
      </c>
      <c r="AI591" s="2" t="s">
        <v>4760</v>
      </c>
      <c r="AJ591" s="2"/>
      <c r="AK591" s="2"/>
      <c r="AL591" s="2"/>
      <c r="AM591" s="5" t="s">
        <v>493</v>
      </c>
      <c r="AN591" s="2"/>
      <c r="AO591" s="5" t="s">
        <v>493</v>
      </c>
      <c r="AP591" s="2"/>
      <c r="AQ591" s="2"/>
      <c r="AR591" s="2"/>
      <c r="AS591" s="2"/>
      <c r="AT591" s="2"/>
      <c r="AU591" s="2" t="s">
        <v>5676</v>
      </c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</row>
    <row r="592" spans="3:58" ht="17.25" customHeight="1">
      <c r="C592" s="1">
        <v>43975</v>
      </c>
      <c r="E592" s="2" t="s">
        <v>4578</v>
      </c>
      <c r="F592" s="15"/>
      <c r="G592" s="2" t="s">
        <v>5741</v>
      </c>
      <c r="H592" s="2" t="s">
        <v>4759</v>
      </c>
      <c r="I592" s="2"/>
      <c r="J592" s="2">
        <v>1</v>
      </c>
      <c r="K592" s="2"/>
      <c r="L592" s="3">
        <v>62.5</v>
      </c>
      <c r="M592" s="3">
        <v>6.25</v>
      </c>
      <c r="N592" s="3">
        <v>3.2</v>
      </c>
      <c r="O592" s="3"/>
      <c r="P592" s="3">
        <f>3.44-3.44</f>
        <v>0</v>
      </c>
      <c r="Q592" s="6">
        <f t="shared" ref="Q592:Q593" si="1336">+L592-M592-N592+P592</f>
        <v>53.05</v>
      </c>
      <c r="R592" s="3"/>
      <c r="S592" s="3">
        <v>56.99</v>
      </c>
      <c r="T592" s="3">
        <v>3.13</v>
      </c>
      <c r="U592" s="3">
        <v>0</v>
      </c>
      <c r="V592" s="3"/>
      <c r="W592" s="3"/>
      <c r="X592" s="2">
        <f t="shared" ref="X592:X593" si="1337">+S592+T592++U592+V592-W592</f>
        <v>60.120000000000005</v>
      </c>
      <c r="Y592" s="6">
        <f t="shared" ref="Y592:Y593" si="1338">+Q592-X592</f>
        <v>-7.0700000000000074</v>
      </c>
      <c r="Z592" s="2"/>
      <c r="AA592" s="2"/>
      <c r="AB592" s="2"/>
      <c r="AC592" s="3"/>
      <c r="AD592" s="2"/>
      <c r="AE592" s="2"/>
      <c r="AF592" s="2"/>
      <c r="AG592" s="2"/>
      <c r="AH592" s="2" t="s">
        <v>4763</v>
      </c>
      <c r="AI592" s="2" t="s">
        <v>4762</v>
      </c>
      <c r="AJ592" s="2"/>
      <c r="AK592" s="2"/>
      <c r="AL592" s="2" t="s">
        <v>3071</v>
      </c>
      <c r="AM592" s="16" t="s">
        <v>6019</v>
      </c>
      <c r="AN592" s="2"/>
      <c r="AO592" s="16" t="s">
        <v>6017</v>
      </c>
      <c r="AP592" s="2" t="s">
        <v>6018</v>
      </c>
      <c r="AQ592" s="2"/>
      <c r="AR592" s="16" t="s">
        <v>5989</v>
      </c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</row>
    <row r="593" spans="3:58" ht="17.25" customHeight="1">
      <c r="C593" s="1">
        <v>43975</v>
      </c>
      <c r="E593" s="2" t="s">
        <v>4764</v>
      </c>
      <c r="F593" s="15"/>
      <c r="G593" s="2" t="s">
        <v>4758</v>
      </c>
      <c r="H593" s="2" t="s">
        <v>4757</v>
      </c>
      <c r="I593" s="2"/>
      <c r="J593" s="2">
        <v>1</v>
      </c>
      <c r="K593" s="2"/>
      <c r="L593" s="3">
        <v>22.85</v>
      </c>
      <c r="M593" s="3">
        <v>2.2799999999999998</v>
      </c>
      <c r="N593" s="3">
        <v>1.39</v>
      </c>
      <c r="O593" s="3"/>
      <c r="P593" s="3">
        <f>1.89-1.89</f>
        <v>0</v>
      </c>
      <c r="Q593" s="6">
        <f t="shared" si="1336"/>
        <v>19.18</v>
      </c>
      <c r="R593" s="3"/>
      <c r="S593" s="3">
        <v>11.95</v>
      </c>
      <c r="T593" s="3">
        <v>0.99</v>
      </c>
      <c r="U593" s="3"/>
      <c r="V593" s="3"/>
      <c r="W593" s="3"/>
      <c r="X593" s="3">
        <f t="shared" si="1337"/>
        <v>12.94</v>
      </c>
      <c r="Y593" s="6">
        <f t="shared" si="1338"/>
        <v>6.24</v>
      </c>
      <c r="Z593" s="2"/>
      <c r="AA593" s="2"/>
      <c r="AB593" s="2"/>
      <c r="AC593" s="3"/>
      <c r="AD593" s="2"/>
      <c r="AE593" s="2"/>
      <c r="AF593" s="2"/>
      <c r="AG593" s="2"/>
      <c r="AH593" s="2" t="s">
        <v>4766</v>
      </c>
      <c r="AI593" s="2" t="s">
        <v>4765</v>
      </c>
      <c r="AJ593" s="2"/>
      <c r="AK593" s="2"/>
      <c r="AL593" s="2" t="s">
        <v>4571</v>
      </c>
      <c r="AM593" s="16" t="s">
        <v>4977</v>
      </c>
      <c r="AN593" s="2"/>
      <c r="AO593" s="2" t="s">
        <v>4831</v>
      </c>
      <c r="AP593" s="2" t="s">
        <v>4832</v>
      </c>
      <c r="AQ593" s="2"/>
      <c r="AR593" s="16" t="s">
        <v>4833</v>
      </c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</row>
    <row r="594" spans="3:58" ht="17.25" customHeight="1">
      <c r="C594" s="1">
        <v>43975</v>
      </c>
      <c r="E594" s="2" t="s">
        <v>4505</v>
      </c>
      <c r="F594" s="15"/>
      <c r="G594" s="2" t="s">
        <v>4531</v>
      </c>
      <c r="H594" s="2" t="s">
        <v>4530</v>
      </c>
      <c r="I594" s="2"/>
      <c r="J594" s="2">
        <v>1</v>
      </c>
      <c r="K594" s="2"/>
      <c r="L594" s="3">
        <v>31.65</v>
      </c>
      <c r="M594" s="3">
        <v>3.16</v>
      </c>
      <c r="N594" s="3">
        <v>1.79</v>
      </c>
      <c r="O594" s="3"/>
      <c r="P594" s="3">
        <f>2.22-2.22</f>
        <v>0</v>
      </c>
      <c r="Q594" s="6">
        <f t="shared" ref="Q594" si="1339">+L594-M594-N594+P594</f>
        <v>26.7</v>
      </c>
      <c r="R594" s="3"/>
      <c r="S594" s="3">
        <v>15.99</v>
      </c>
      <c r="T594" s="3">
        <v>1.1200000000000001</v>
      </c>
      <c r="U594" s="3"/>
      <c r="V594" s="3"/>
      <c r="W594" s="3"/>
      <c r="X594" s="2">
        <f t="shared" ref="X594" si="1340">+S594+T594++U594+V594-W594</f>
        <v>17.11</v>
      </c>
      <c r="Y594" s="6">
        <f t="shared" ref="Y594" si="1341">+Q594-X594</f>
        <v>9.59</v>
      </c>
      <c r="Z594" s="6">
        <f>SUM(Y581:Y594)</f>
        <v>76.61</v>
      </c>
      <c r="AA594" s="2"/>
      <c r="AB594" s="2"/>
      <c r="AC594" s="3"/>
      <c r="AD594" s="2"/>
      <c r="AE594" s="2"/>
      <c r="AF594" s="2"/>
      <c r="AG594" s="2"/>
      <c r="AH594" s="2" t="s">
        <v>4562</v>
      </c>
      <c r="AI594" s="2" t="s">
        <v>4561</v>
      </c>
      <c r="AJ594" s="2"/>
      <c r="AK594" s="2"/>
      <c r="AL594" s="2" t="s">
        <v>5012</v>
      </c>
      <c r="AM594" s="2" t="s">
        <v>5013</v>
      </c>
      <c r="AN594" s="2"/>
      <c r="AO594" s="2" t="s">
        <v>4834</v>
      </c>
      <c r="AP594" s="2" t="s">
        <v>4713</v>
      </c>
      <c r="AQ594" s="2"/>
      <c r="AR594" s="16" t="s">
        <v>4599</v>
      </c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</row>
    <row r="595" spans="3:58" ht="17.25" customHeight="1">
      <c r="C595" s="1">
        <v>43974</v>
      </c>
      <c r="E595" s="2" t="s">
        <v>7</v>
      </c>
      <c r="F595" s="15"/>
      <c r="G595" s="2" t="s">
        <v>4752</v>
      </c>
      <c r="H595" s="2" t="s">
        <v>4751</v>
      </c>
      <c r="I595" s="2"/>
      <c r="J595" s="2">
        <v>1</v>
      </c>
      <c r="K595" s="2"/>
      <c r="L595" s="3">
        <v>31.5</v>
      </c>
      <c r="M595" s="3">
        <v>3.15</v>
      </c>
      <c r="N595" s="3">
        <v>1.77</v>
      </c>
      <c r="O595" s="3"/>
      <c r="P595" s="3">
        <f>1.97-1.97</f>
        <v>0</v>
      </c>
      <c r="Q595" s="6">
        <f t="shared" ref="Q595" si="1342">+L595-M595-N595+P595</f>
        <v>26.580000000000002</v>
      </c>
      <c r="R595" s="3"/>
      <c r="S595" s="3">
        <v>17.98</v>
      </c>
      <c r="T595" s="3">
        <v>1.1200000000000001</v>
      </c>
      <c r="U595" s="3">
        <v>0</v>
      </c>
      <c r="V595" s="3"/>
      <c r="W595" s="3"/>
      <c r="X595" s="2">
        <f t="shared" ref="X595" si="1343">+S595+T595++U595+V595-W595</f>
        <v>19.100000000000001</v>
      </c>
      <c r="Y595" s="6">
        <f t="shared" ref="Y595" si="1344">+Q595-X595</f>
        <v>7.48</v>
      </c>
      <c r="Z595" s="2"/>
      <c r="AA595" s="2"/>
      <c r="AB595" s="2"/>
      <c r="AC595" s="3"/>
      <c r="AD595" s="2"/>
      <c r="AE595" s="2"/>
      <c r="AF595" s="2"/>
      <c r="AG595" s="2"/>
      <c r="AH595" s="2" t="s">
        <v>4750</v>
      </c>
      <c r="AI595" s="2" t="s">
        <v>4749</v>
      </c>
      <c r="AJ595" s="2"/>
      <c r="AK595" s="2"/>
      <c r="AL595" s="2" t="s">
        <v>4609</v>
      </c>
      <c r="AM595" s="16" t="s">
        <v>4907</v>
      </c>
      <c r="AN595" s="2"/>
      <c r="AO595" s="2" t="s">
        <v>4801</v>
      </c>
      <c r="AP595" s="2" t="s">
        <v>4643</v>
      </c>
      <c r="AQ595" s="2"/>
      <c r="AR595" s="16" t="s">
        <v>4644</v>
      </c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</row>
    <row r="596" spans="3:58" ht="17.25" customHeight="1">
      <c r="C596" s="1">
        <v>43974</v>
      </c>
      <c r="E596" s="2" t="s">
        <v>4521</v>
      </c>
      <c r="F596" s="15"/>
      <c r="G596" s="2" t="s">
        <v>4756</v>
      </c>
      <c r="H596" s="2" t="s">
        <v>4755</v>
      </c>
      <c r="I596" s="2"/>
      <c r="J596" s="2">
        <v>1</v>
      </c>
      <c r="K596" s="2"/>
      <c r="L596" s="3">
        <v>83.5</v>
      </c>
      <c r="M596" s="3">
        <v>8.35</v>
      </c>
      <c r="N596" s="3">
        <v>4.2300000000000004</v>
      </c>
      <c r="O596" s="3">
        <v>0</v>
      </c>
      <c r="P596" s="3">
        <f>5.85-5.85</f>
        <v>0</v>
      </c>
      <c r="Q596" s="6">
        <f t="shared" ref="Q596" si="1345">+L596-M596-N596+P596</f>
        <v>70.92</v>
      </c>
      <c r="R596" s="3"/>
      <c r="S596" s="3">
        <v>65.19</v>
      </c>
      <c r="T596" s="3">
        <v>4.57</v>
      </c>
      <c r="U596" s="3"/>
      <c r="V596" s="3"/>
      <c r="W596" s="3">
        <f>6.51+0.45</f>
        <v>6.96</v>
      </c>
      <c r="X596" s="2">
        <f t="shared" ref="X596" si="1346">+S596+T596++U596+V596-W596</f>
        <v>62.79999999999999</v>
      </c>
      <c r="Y596" s="6">
        <f t="shared" ref="Y596" si="1347">+Q596-X596</f>
        <v>8.1200000000000117</v>
      </c>
      <c r="Z596" s="2"/>
      <c r="AA596" s="2"/>
      <c r="AB596" s="2"/>
      <c r="AC596" s="3"/>
      <c r="AD596" s="2"/>
      <c r="AE596" s="2"/>
      <c r="AF596" s="2"/>
      <c r="AG596" s="2"/>
      <c r="AH596" s="2" t="s">
        <v>4768</v>
      </c>
      <c r="AI596" s="2" t="s">
        <v>4767</v>
      </c>
      <c r="AJ596" s="2"/>
      <c r="AK596" s="2"/>
      <c r="AL596" s="2" t="s">
        <v>4571</v>
      </c>
      <c r="AM596" s="16" t="s">
        <v>4955</v>
      </c>
      <c r="AN596" s="2">
        <v>1</v>
      </c>
      <c r="AO596" s="2" t="s">
        <v>4923</v>
      </c>
      <c r="AP596" s="2" t="s">
        <v>3696</v>
      </c>
      <c r="AQ596" s="2"/>
      <c r="AR596" s="16" t="s">
        <v>4922</v>
      </c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</row>
    <row r="597" spans="3:58" ht="17.25" customHeight="1">
      <c r="C597" s="1">
        <v>43974</v>
      </c>
      <c r="E597" s="2" t="s">
        <v>4748</v>
      </c>
      <c r="F597" s="15"/>
      <c r="G597" s="2" t="s">
        <v>4754</v>
      </c>
      <c r="H597" s="2" t="s">
        <v>4753</v>
      </c>
      <c r="I597" s="2"/>
      <c r="J597" s="2">
        <v>1</v>
      </c>
      <c r="K597" s="2"/>
      <c r="L597" s="3">
        <v>83.5</v>
      </c>
      <c r="M597" s="3">
        <v>8.35</v>
      </c>
      <c r="N597" s="3">
        <v>4.32</v>
      </c>
      <c r="O597" s="3">
        <v>0</v>
      </c>
      <c r="P597" s="3">
        <f>7.93-7.93</f>
        <v>0</v>
      </c>
      <c r="Q597" s="6">
        <f t="shared" ref="Q597" si="1348">+L597-M597-N597+P597</f>
        <v>70.830000000000013</v>
      </c>
      <c r="R597" s="3"/>
      <c r="S597" s="3">
        <v>65.19</v>
      </c>
      <c r="T597" s="3">
        <v>6.19</v>
      </c>
      <c r="U597" s="3"/>
      <c r="V597" s="3"/>
      <c r="W597" s="3">
        <f>6.51+0.62</f>
        <v>7.13</v>
      </c>
      <c r="X597" s="2">
        <f t="shared" ref="X597" si="1349">+S597+T597++U597+V597-W597</f>
        <v>64.25</v>
      </c>
      <c r="Y597" s="6">
        <f t="shared" ref="Y597" si="1350">+Q597-X597</f>
        <v>6.5800000000000125</v>
      </c>
      <c r="Z597" s="2"/>
      <c r="AA597" s="2"/>
      <c r="AB597" s="2"/>
      <c r="AC597" s="3"/>
      <c r="AD597" s="2"/>
      <c r="AE597" s="2"/>
      <c r="AF597" s="2"/>
      <c r="AG597" s="2"/>
      <c r="AH597" s="2" t="s">
        <v>4770</v>
      </c>
      <c r="AI597" s="2" t="s">
        <v>4769</v>
      </c>
      <c r="AJ597" s="2"/>
      <c r="AK597" s="2"/>
      <c r="AL597" s="2" t="s">
        <v>4609</v>
      </c>
      <c r="AM597" s="16" t="s">
        <v>5077</v>
      </c>
      <c r="AN597" s="2">
        <v>1</v>
      </c>
      <c r="AO597" s="2" t="s">
        <v>5053</v>
      </c>
      <c r="AP597" s="2" t="s">
        <v>3696</v>
      </c>
      <c r="AQ597" s="2"/>
      <c r="AR597" s="16" t="s">
        <v>5052</v>
      </c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</row>
    <row r="598" spans="3:58" ht="17.25" customHeight="1">
      <c r="C598" s="1">
        <v>43974</v>
      </c>
      <c r="E598" s="2" t="s">
        <v>4743</v>
      </c>
      <c r="F598" s="15"/>
      <c r="G598" s="2" t="s">
        <v>4745</v>
      </c>
      <c r="H598" s="2" t="s">
        <v>4744</v>
      </c>
      <c r="I598" s="2"/>
      <c r="J598" s="2">
        <v>1</v>
      </c>
      <c r="K598" s="2"/>
      <c r="L598" s="3">
        <v>83.5</v>
      </c>
      <c r="M598" s="3">
        <v>8.35</v>
      </c>
      <c r="N598" s="3">
        <v>4.2300000000000004</v>
      </c>
      <c r="O598" s="3">
        <v>0</v>
      </c>
      <c r="P598" s="3">
        <f>5.85-5.85</f>
        <v>0</v>
      </c>
      <c r="Q598" s="6">
        <f t="shared" ref="Q598" si="1351">+L598-M598-N598+P598</f>
        <v>70.92</v>
      </c>
      <c r="R598" s="3"/>
      <c r="S598" s="3">
        <v>65.19</v>
      </c>
      <c r="T598" s="3">
        <v>4.57</v>
      </c>
      <c r="U598" s="3"/>
      <c r="V598" s="3"/>
      <c r="W598" s="3">
        <f>6.51+0.45</f>
        <v>6.96</v>
      </c>
      <c r="X598" s="2">
        <f t="shared" ref="X598" si="1352">+S598+T598++U598+V598-W598</f>
        <v>62.79999999999999</v>
      </c>
      <c r="Y598" s="6">
        <f t="shared" ref="Y598" si="1353">+Q598-X598</f>
        <v>8.1200000000000117</v>
      </c>
      <c r="Z598" s="2"/>
      <c r="AA598" s="2"/>
      <c r="AB598" s="2"/>
      <c r="AC598" s="3"/>
      <c r="AD598" s="2"/>
      <c r="AE598" s="2"/>
      <c r="AF598" s="2"/>
      <c r="AG598" s="2"/>
      <c r="AH598" s="2" t="s">
        <v>4747</v>
      </c>
      <c r="AI598" s="2" t="s">
        <v>4746</v>
      </c>
      <c r="AJ598" s="2"/>
      <c r="AK598" s="2"/>
      <c r="AL598" s="2" t="s">
        <v>4609</v>
      </c>
      <c r="AM598" s="16" t="s">
        <v>5078</v>
      </c>
      <c r="AN598" s="2">
        <v>1</v>
      </c>
      <c r="AO598" s="2" t="s">
        <v>5051</v>
      </c>
      <c r="AP598" s="2" t="s">
        <v>3696</v>
      </c>
      <c r="AQ598" s="2"/>
      <c r="AR598" s="16" t="s">
        <v>5052</v>
      </c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</row>
    <row r="599" spans="3:58" ht="17.25" customHeight="1">
      <c r="C599" s="1">
        <v>43974</v>
      </c>
      <c r="E599" s="2" t="s">
        <v>7</v>
      </c>
      <c r="F599" s="15"/>
      <c r="G599" s="2" t="s">
        <v>4739</v>
      </c>
      <c r="H599" s="2" t="s">
        <v>4738</v>
      </c>
      <c r="I599" s="2"/>
      <c r="J599" s="2">
        <v>1</v>
      </c>
      <c r="K599" s="2"/>
      <c r="L599" s="3">
        <v>31.25</v>
      </c>
      <c r="M599" s="3">
        <v>3.12</v>
      </c>
      <c r="N599" s="3">
        <v>1.78</v>
      </c>
      <c r="O599" s="3"/>
      <c r="P599" s="3">
        <v>2.21</v>
      </c>
      <c r="Q599" s="6">
        <f t="shared" ref="Q599" si="1354">+L599-M599-N599+P599</f>
        <v>28.56</v>
      </c>
      <c r="R599" s="3"/>
      <c r="S599" s="3">
        <v>17.98</v>
      </c>
      <c r="T599" s="3">
        <v>1.26</v>
      </c>
      <c r="U599" s="3">
        <v>0</v>
      </c>
      <c r="V599" s="3"/>
      <c r="W599" s="3"/>
      <c r="X599" s="2">
        <f t="shared" ref="X599" si="1355">+S599+T599++U599+V599-W599</f>
        <v>19.240000000000002</v>
      </c>
      <c r="Y599" s="6">
        <f t="shared" ref="Y599" si="1356">+Q599-X599</f>
        <v>9.3199999999999967</v>
      </c>
      <c r="Z599" s="2"/>
      <c r="AA599" s="2"/>
      <c r="AB599" s="2"/>
      <c r="AC599" s="3"/>
      <c r="AD599" s="2"/>
      <c r="AE599" s="2"/>
      <c r="AF599" s="2"/>
      <c r="AG599" s="2"/>
      <c r="AH599" s="2" t="s">
        <v>4741</v>
      </c>
      <c r="AI599" s="2" t="s">
        <v>4740</v>
      </c>
      <c r="AJ599" s="2"/>
      <c r="AK599" s="2"/>
      <c r="AL599" s="2" t="s">
        <v>4609</v>
      </c>
      <c r="AM599" s="16" t="s">
        <v>4906</v>
      </c>
      <c r="AN599" s="2"/>
      <c r="AO599" s="2" t="s">
        <v>4800</v>
      </c>
      <c r="AP599" s="2" t="s">
        <v>4643</v>
      </c>
      <c r="AQ599" s="2"/>
      <c r="AR599" s="16" t="s">
        <v>4644</v>
      </c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</row>
    <row r="600" spans="3:58" ht="17.25" customHeight="1">
      <c r="C600" s="1">
        <v>43974</v>
      </c>
      <c r="E600" s="2" t="s">
        <v>4578</v>
      </c>
      <c r="F600" s="15"/>
      <c r="G600" s="2" t="s">
        <v>4736</v>
      </c>
      <c r="H600" s="2" t="s">
        <v>4737</v>
      </c>
      <c r="I600" s="2"/>
      <c r="J600" s="2">
        <v>0</v>
      </c>
      <c r="K600" s="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2"/>
      <c r="AA600" s="2"/>
      <c r="AB600" s="2"/>
      <c r="AC600" s="3"/>
      <c r="AD600" s="2"/>
      <c r="AE600" s="2"/>
      <c r="AF600" s="2"/>
      <c r="AG600" s="2"/>
      <c r="AH600" s="5" t="s">
        <v>4625</v>
      </c>
      <c r="AI600" s="5" t="s">
        <v>4742</v>
      </c>
      <c r="AJ600" s="2"/>
      <c r="AK600" s="2"/>
      <c r="AL600" s="2"/>
      <c r="AM600" s="5" t="s">
        <v>493</v>
      </c>
      <c r="AN600" s="2"/>
      <c r="AO600" s="5" t="s">
        <v>4625</v>
      </c>
      <c r="AP600" s="5" t="s">
        <v>4625</v>
      </c>
      <c r="AQ600" s="5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</row>
    <row r="601" spans="3:58" ht="17.25" customHeight="1">
      <c r="C601" s="1">
        <v>43974</v>
      </c>
      <c r="E601" s="2" t="s">
        <v>4578</v>
      </c>
      <c r="F601" s="15"/>
      <c r="G601" s="2" t="s">
        <v>4727</v>
      </c>
      <c r="H601" s="2" t="s">
        <v>4726</v>
      </c>
      <c r="I601" s="2"/>
      <c r="J601" s="2">
        <v>1</v>
      </c>
      <c r="K601" s="2"/>
      <c r="L601" s="3">
        <v>62.5</v>
      </c>
      <c r="M601" s="3">
        <v>6.25</v>
      </c>
      <c r="N601" s="3">
        <v>3.28</v>
      </c>
      <c r="O601" s="3"/>
      <c r="P601" s="3">
        <f>3.75-3.75</f>
        <v>0</v>
      </c>
      <c r="Q601" s="6">
        <f t="shared" ref="Q601:Q602" si="1357">+L601-M601-N601+P601</f>
        <v>52.97</v>
      </c>
      <c r="R601" s="3"/>
      <c r="S601" s="3">
        <v>79.989999999999995</v>
      </c>
      <c r="T601" s="3">
        <v>6.6</v>
      </c>
      <c r="U601" s="3">
        <v>0</v>
      </c>
      <c r="V601" s="3"/>
      <c r="W601" s="3"/>
      <c r="X601" s="2">
        <f t="shared" ref="X601:X602" si="1358">+S601+T601++U601+V601-W601</f>
        <v>86.589999999999989</v>
      </c>
      <c r="Y601" s="6">
        <f t="shared" ref="Y601:Y602" si="1359">+Q601-X601</f>
        <v>-33.61999999999999</v>
      </c>
      <c r="Z601" s="2"/>
      <c r="AA601" s="2"/>
      <c r="AB601" s="2"/>
      <c r="AC601" s="3"/>
      <c r="AD601" s="2"/>
      <c r="AE601" s="2"/>
      <c r="AF601" s="2"/>
      <c r="AG601" s="2"/>
      <c r="AH601" s="2" t="s">
        <v>4729</v>
      </c>
      <c r="AI601" s="2" t="s">
        <v>4728</v>
      </c>
      <c r="AJ601" s="2"/>
      <c r="AK601" s="2"/>
      <c r="AL601" s="2" t="s">
        <v>5981</v>
      </c>
      <c r="AM601" s="2" t="s">
        <v>6228</v>
      </c>
      <c r="AN601" s="2"/>
      <c r="AO601" s="2" t="s">
        <v>5993</v>
      </c>
      <c r="AP601" s="2" t="s">
        <v>591</v>
      </c>
      <c r="AQ601" s="2"/>
      <c r="AR601" s="42" t="s">
        <v>5989</v>
      </c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</row>
    <row r="602" spans="3:58" ht="17.25" customHeight="1">
      <c r="C602" s="1">
        <v>43974</v>
      </c>
      <c r="E602" s="2" t="s">
        <v>4721</v>
      </c>
      <c r="F602" s="15"/>
      <c r="G602" s="2" t="s">
        <v>4731</v>
      </c>
      <c r="H602" s="2" t="s">
        <v>4730</v>
      </c>
      <c r="I602" s="2"/>
      <c r="J602" s="2">
        <v>1</v>
      </c>
      <c r="K602" s="2"/>
      <c r="L602" s="3">
        <v>29.35</v>
      </c>
      <c r="M602" s="3">
        <v>2.93</v>
      </c>
      <c r="N602" s="3">
        <v>1.7</v>
      </c>
      <c r="O602" s="3"/>
      <c r="P602" s="3">
        <f>2.42-2.42</f>
        <v>0</v>
      </c>
      <c r="Q602" s="6">
        <f t="shared" si="1357"/>
        <v>24.720000000000002</v>
      </c>
      <c r="R602" s="3"/>
      <c r="S602" s="3">
        <v>14.98</v>
      </c>
      <c r="T602" s="3">
        <v>1.31</v>
      </c>
      <c r="U602" s="3">
        <v>0</v>
      </c>
      <c r="V602" s="3"/>
      <c r="W602" s="3">
        <v>0</v>
      </c>
      <c r="X602" s="2">
        <f t="shared" si="1358"/>
        <v>16.29</v>
      </c>
      <c r="Y602" s="6">
        <f t="shared" si="1359"/>
        <v>8.4300000000000033</v>
      </c>
      <c r="Z602" s="2"/>
      <c r="AA602" s="2"/>
      <c r="AB602" s="2"/>
      <c r="AC602" s="3"/>
      <c r="AD602" s="2"/>
      <c r="AE602" s="2"/>
      <c r="AF602" s="2"/>
      <c r="AG602" s="2"/>
      <c r="AH602" s="2" t="s">
        <v>4733</v>
      </c>
      <c r="AI602" s="2" t="s">
        <v>4732</v>
      </c>
      <c r="AJ602" s="2"/>
      <c r="AK602" s="2"/>
      <c r="AL602" s="2" t="s">
        <v>4571</v>
      </c>
      <c r="AM602" s="16" t="s">
        <v>4941</v>
      </c>
      <c r="AN602" s="2"/>
      <c r="AO602" s="2" t="s">
        <v>4799</v>
      </c>
      <c r="AP602" s="2" t="s">
        <v>4501</v>
      </c>
      <c r="AQ602" s="2"/>
      <c r="AR602" s="16" t="s">
        <v>4798</v>
      </c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</row>
    <row r="603" spans="3:58" ht="17.25" customHeight="1">
      <c r="C603" s="1">
        <v>43974</v>
      </c>
      <c r="E603" s="2" t="s">
        <v>2289</v>
      </c>
      <c r="F603" s="15"/>
      <c r="G603" s="2" t="s">
        <v>4725</v>
      </c>
      <c r="H603" s="2" t="s">
        <v>4724</v>
      </c>
      <c r="I603" s="2"/>
      <c r="J603" s="2">
        <v>1</v>
      </c>
      <c r="K603" s="2"/>
      <c r="L603" s="3">
        <v>0</v>
      </c>
      <c r="M603" s="3">
        <v>0</v>
      </c>
      <c r="N603" s="3">
        <v>0</v>
      </c>
      <c r="O603" s="3"/>
      <c r="P603" s="3">
        <v>0</v>
      </c>
      <c r="Q603" s="6">
        <f t="shared" ref="Q603:Q605" si="1360">+L603-M603-N603+P603</f>
        <v>0</v>
      </c>
      <c r="R603" s="3"/>
      <c r="S603" s="3">
        <v>0</v>
      </c>
      <c r="T603" s="3">
        <v>0</v>
      </c>
      <c r="U603" s="3"/>
      <c r="V603" s="3"/>
      <c r="W603" s="3"/>
      <c r="X603" s="2">
        <f t="shared" ref="X603" si="1361">+S603+T603++U603+V603-W603</f>
        <v>0</v>
      </c>
      <c r="Y603" s="6">
        <f t="shared" ref="Y603" si="1362">+Q603-X603</f>
        <v>0</v>
      </c>
      <c r="Z603" s="6">
        <f>SUM(Y595:Y603)</f>
        <v>14.430000000000046</v>
      </c>
      <c r="AA603" s="2"/>
      <c r="AB603" s="2"/>
      <c r="AC603" s="3"/>
      <c r="AD603" s="2"/>
      <c r="AE603" s="2"/>
      <c r="AF603" s="2"/>
      <c r="AG603" s="2"/>
      <c r="AH603" s="2" t="s">
        <v>4723</v>
      </c>
      <c r="AI603" s="2" t="s">
        <v>4722</v>
      </c>
      <c r="AJ603" s="2"/>
      <c r="AK603" s="2"/>
      <c r="AL603" s="2"/>
      <c r="AM603" s="5" t="s">
        <v>4796</v>
      </c>
      <c r="AN603" s="2"/>
      <c r="AO603" s="5" t="s">
        <v>4796</v>
      </c>
      <c r="AP603" s="5" t="s">
        <v>4625</v>
      </c>
      <c r="AQ603" s="5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</row>
    <row r="604" spans="3:58" ht="17.25" customHeight="1">
      <c r="C604" s="1">
        <v>43973</v>
      </c>
      <c r="E604" s="2" t="s">
        <v>4578</v>
      </c>
      <c r="F604" s="15"/>
      <c r="G604" s="2" t="s">
        <v>5569</v>
      </c>
      <c r="H604" s="2" t="s">
        <v>4877</v>
      </c>
      <c r="I604" s="2"/>
      <c r="J604" s="2">
        <v>0</v>
      </c>
      <c r="K604" s="2"/>
      <c r="L604" s="3">
        <v>0</v>
      </c>
      <c r="M604" s="3">
        <v>0</v>
      </c>
      <c r="N604" s="3">
        <v>0</v>
      </c>
      <c r="O604" s="3"/>
      <c r="P604" s="3">
        <f>3.75-3.75</f>
        <v>0</v>
      </c>
      <c r="Q604" s="6">
        <f t="shared" si="1360"/>
        <v>0</v>
      </c>
      <c r="R604" s="3"/>
      <c r="S604" s="3">
        <v>0</v>
      </c>
      <c r="T604" s="3">
        <v>0</v>
      </c>
      <c r="U604" s="3">
        <v>0</v>
      </c>
      <c r="V604" s="3"/>
      <c r="W604" s="3"/>
      <c r="X604" s="2">
        <f t="shared" ref="X604:X605" si="1363">+S604+T604++U604+V604-W604</f>
        <v>0</v>
      </c>
      <c r="Y604" s="6">
        <f t="shared" ref="Y604:Y605" si="1364">+Q604-X604</f>
        <v>0</v>
      </c>
      <c r="Z604" s="2"/>
      <c r="AA604" s="2"/>
      <c r="AB604" s="2"/>
      <c r="AC604" s="3"/>
      <c r="AD604" s="2"/>
      <c r="AE604" s="2"/>
      <c r="AF604" s="2"/>
      <c r="AG604" s="2"/>
      <c r="AH604" s="2" t="s">
        <v>4703</v>
      </c>
      <c r="AI604" s="2" t="s">
        <v>4702</v>
      </c>
      <c r="AJ604" s="2"/>
      <c r="AK604" s="2"/>
      <c r="AL604" s="2" t="s">
        <v>4554</v>
      </c>
      <c r="AM604" s="16" t="s">
        <v>4878</v>
      </c>
      <c r="AN604" s="2"/>
      <c r="AO604" s="2" t="s">
        <v>4720</v>
      </c>
      <c r="AP604" s="2" t="s">
        <v>4719</v>
      </c>
      <c r="AQ604" s="2"/>
      <c r="AR604" s="16" t="s">
        <v>4650</v>
      </c>
      <c r="AS604" s="2"/>
      <c r="AT604" s="2"/>
      <c r="AU604" s="2" t="s">
        <v>5682</v>
      </c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</row>
    <row r="605" spans="3:58" ht="17.25" customHeight="1">
      <c r="C605" s="1">
        <v>43973</v>
      </c>
      <c r="E605" s="2" t="s">
        <v>4688</v>
      </c>
      <c r="F605" s="15"/>
      <c r="G605" s="2" t="s">
        <v>3866</v>
      </c>
      <c r="H605" s="2" t="s">
        <v>3865</v>
      </c>
      <c r="I605" s="2"/>
      <c r="J605" s="2">
        <v>1</v>
      </c>
      <c r="K605" s="2"/>
      <c r="L605" s="3">
        <v>83.5</v>
      </c>
      <c r="M605" s="3">
        <v>8.35</v>
      </c>
      <c r="N605" s="3">
        <v>4.28</v>
      </c>
      <c r="O605" s="3">
        <v>0</v>
      </c>
      <c r="P605" s="3">
        <f>6.89-6.89</f>
        <v>0</v>
      </c>
      <c r="Q605" s="6">
        <f t="shared" si="1360"/>
        <v>70.87</v>
      </c>
      <c r="R605" s="3"/>
      <c r="S605" s="3">
        <v>65.19</v>
      </c>
      <c r="T605" s="3">
        <v>5.37</v>
      </c>
      <c r="U605" s="3"/>
      <c r="V605" s="3"/>
      <c r="W605" s="3">
        <f>6.51+0.54</f>
        <v>7.05</v>
      </c>
      <c r="X605" s="2">
        <f t="shared" si="1363"/>
        <v>63.510000000000005</v>
      </c>
      <c r="Y605" s="6">
        <f t="shared" si="1364"/>
        <v>7.3599999999999994</v>
      </c>
      <c r="Z605" s="2"/>
      <c r="AA605" s="2"/>
      <c r="AB605" s="2"/>
      <c r="AC605" s="3"/>
      <c r="AD605" s="2"/>
      <c r="AE605" s="2"/>
      <c r="AF605" s="2"/>
      <c r="AG605" s="2"/>
      <c r="AH605" s="2" t="s">
        <v>3877</v>
      </c>
      <c r="AI605" s="2" t="s">
        <v>3876</v>
      </c>
      <c r="AJ605" s="2"/>
      <c r="AK605" s="2"/>
      <c r="AL605" s="2" t="s">
        <v>4609</v>
      </c>
      <c r="AM605" s="16" t="s">
        <v>4844</v>
      </c>
      <c r="AN605" s="2">
        <v>1</v>
      </c>
      <c r="AO605" s="2" t="s">
        <v>4844</v>
      </c>
      <c r="AP605" s="2" t="s">
        <v>3696</v>
      </c>
      <c r="AQ605" s="2"/>
      <c r="AR605" s="16" t="s">
        <v>4650</v>
      </c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</row>
    <row r="606" spans="3:58" ht="17.25" customHeight="1">
      <c r="C606" s="1">
        <v>43973</v>
      </c>
      <c r="E606" s="2" t="s">
        <v>4578</v>
      </c>
      <c r="F606" s="15"/>
      <c r="G606" s="2" t="s">
        <v>6714</v>
      </c>
      <c r="H606" s="2" t="s">
        <v>5568</v>
      </c>
      <c r="I606" s="2"/>
      <c r="J606" s="2">
        <v>1</v>
      </c>
      <c r="K606" s="2"/>
      <c r="L606" s="3">
        <v>62.5</v>
      </c>
      <c r="M606" s="3">
        <v>6.25</v>
      </c>
      <c r="N606" s="3">
        <v>3.26</v>
      </c>
      <c r="O606" s="3"/>
      <c r="P606" s="3">
        <f>4.84-4.84</f>
        <v>0</v>
      </c>
      <c r="Q606" s="6">
        <f t="shared" ref="Q606" si="1365">+L606-M606-N606+P606</f>
        <v>52.99</v>
      </c>
      <c r="R606" s="3"/>
      <c r="S606" s="3">
        <v>40.89</v>
      </c>
      <c r="T606" s="3">
        <v>3.17</v>
      </c>
      <c r="U606" s="3">
        <v>0</v>
      </c>
      <c r="V606" s="3"/>
      <c r="W606" s="3"/>
      <c r="X606" s="2">
        <f t="shared" ref="X606" si="1366">+S606+T606++U606+V606-W606</f>
        <v>44.06</v>
      </c>
      <c r="Y606" s="6">
        <f t="shared" ref="Y606" si="1367">+Q606-X606</f>
        <v>8.93</v>
      </c>
      <c r="Z606" s="2"/>
      <c r="AA606" s="2"/>
      <c r="AB606" s="2"/>
      <c r="AC606" s="3"/>
      <c r="AD606" s="2"/>
      <c r="AE606" s="2"/>
      <c r="AF606" s="2"/>
      <c r="AG606" s="2"/>
      <c r="AH606" s="2" t="s">
        <v>4701</v>
      </c>
      <c r="AI606" s="2" t="s">
        <v>4700</v>
      </c>
      <c r="AJ606" s="2"/>
      <c r="AK606" s="2"/>
      <c r="AL606" s="2" t="s">
        <v>4880</v>
      </c>
      <c r="AM606" s="16" t="s">
        <v>4879</v>
      </c>
      <c r="AN606" s="2"/>
      <c r="AO606" s="2" t="s">
        <v>5567</v>
      </c>
      <c r="AP606" s="2" t="s">
        <v>4719</v>
      </c>
      <c r="AQ606" s="2"/>
      <c r="AR606" s="16" t="s">
        <v>4650</v>
      </c>
      <c r="AS606" s="2"/>
      <c r="AT606" s="2"/>
      <c r="AU606" s="2" t="s">
        <v>5683</v>
      </c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</row>
    <row r="607" spans="3:58" ht="17.25" customHeight="1">
      <c r="C607" s="1">
        <v>43973</v>
      </c>
      <c r="E607" s="2" t="s">
        <v>4505</v>
      </c>
      <c r="F607" s="15"/>
      <c r="G607" s="2" t="s">
        <v>4697</v>
      </c>
      <c r="H607" s="2" t="s">
        <v>4716</v>
      </c>
      <c r="I607" s="2"/>
      <c r="J607" s="2">
        <v>1</v>
      </c>
      <c r="K607" s="2"/>
      <c r="L607" s="3">
        <v>31.65</v>
      </c>
      <c r="M607" s="3">
        <v>3.16</v>
      </c>
      <c r="N607" s="3">
        <v>1.81</v>
      </c>
      <c r="O607" s="3"/>
      <c r="P607" s="3">
        <f>2.57-2.57</f>
        <v>0</v>
      </c>
      <c r="Q607" s="6">
        <f t="shared" ref="Q607" si="1368">+L607-M607-N607+P607</f>
        <v>26.68</v>
      </c>
      <c r="R607" s="3"/>
      <c r="S607" s="3">
        <v>15.99</v>
      </c>
      <c r="T607" s="3">
        <v>0</v>
      </c>
      <c r="U607" s="3"/>
      <c r="V607" s="3"/>
      <c r="W607" s="3"/>
      <c r="X607" s="2">
        <f t="shared" ref="X607" si="1369">+S607+T607++U607+V607-W607</f>
        <v>15.99</v>
      </c>
      <c r="Y607" s="6">
        <f t="shared" ref="Y607" si="1370">+Q607-X607</f>
        <v>10.69</v>
      </c>
      <c r="Z607" s="2"/>
      <c r="AA607" s="2"/>
      <c r="AB607" s="2"/>
      <c r="AC607" s="3"/>
      <c r="AD607" s="2"/>
      <c r="AE607" s="2"/>
      <c r="AF607" s="2"/>
      <c r="AG607" s="2"/>
      <c r="AH607" s="2" t="s">
        <v>4699</v>
      </c>
      <c r="AI607" s="2" t="s">
        <v>4698</v>
      </c>
      <c r="AJ607" s="2"/>
      <c r="AK607" s="2"/>
      <c r="AL607" s="2" t="s">
        <v>2926</v>
      </c>
      <c r="AM607" s="16" t="s">
        <v>5827</v>
      </c>
      <c r="AN607" s="2"/>
      <c r="AO607" s="2" t="s">
        <v>4715</v>
      </c>
      <c r="AP607" s="2" t="s">
        <v>4713</v>
      </c>
      <c r="AQ607" s="2"/>
      <c r="AR607" s="16" t="s">
        <v>6332</v>
      </c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</row>
    <row r="608" spans="3:58" ht="17.25" customHeight="1">
      <c r="C608" s="1">
        <v>43973</v>
      </c>
      <c r="E608" s="2" t="s">
        <v>4496</v>
      </c>
      <c r="F608" s="15"/>
      <c r="G608" s="2" t="s">
        <v>4694</v>
      </c>
      <c r="H608" s="2" t="s">
        <v>4693</v>
      </c>
      <c r="I608" s="2"/>
      <c r="J608" s="2">
        <v>1</v>
      </c>
      <c r="K608" s="2"/>
      <c r="L608" s="3">
        <v>22.85</v>
      </c>
      <c r="M608" s="3">
        <v>2.2799999999999998</v>
      </c>
      <c r="N608" s="3">
        <v>1.39</v>
      </c>
      <c r="O608" s="3"/>
      <c r="P608" s="3">
        <f>1.89-1.89</f>
        <v>0</v>
      </c>
      <c r="Q608" s="6">
        <f t="shared" ref="Q608" si="1371">+L608-M608-N608+P608</f>
        <v>19.18</v>
      </c>
      <c r="R608" s="3"/>
      <c r="S608" s="3">
        <v>11.95</v>
      </c>
      <c r="T608" s="3">
        <v>0.99</v>
      </c>
      <c r="U608" s="3"/>
      <c r="V608" s="3"/>
      <c r="W608" s="3"/>
      <c r="X608" s="3">
        <f t="shared" ref="X608" si="1372">+S608+T608++U608+V608-W608</f>
        <v>12.94</v>
      </c>
      <c r="Y608" s="6">
        <f t="shared" ref="Y608" si="1373">+Q608-X608</f>
        <v>6.24</v>
      </c>
      <c r="Z608" s="2"/>
      <c r="AA608" s="2"/>
      <c r="AB608" s="2"/>
      <c r="AC608" s="3"/>
      <c r="AD608" s="2"/>
      <c r="AE608" s="2"/>
      <c r="AF608" s="2"/>
      <c r="AG608" s="2"/>
      <c r="AH608" s="2" t="s">
        <v>4696</v>
      </c>
      <c r="AI608" s="2" t="s">
        <v>4695</v>
      </c>
      <c r="AJ608" s="2"/>
      <c r="AK608" s="2"/>
      <c r="AL608" s="2" t="s">
        <v>4571</v>
      </c>
      <c r="AM608" s="16" t="s">
        <v>4956</v>
      </c>
      <c r="AN608" s="2"/>
      <c r="AO608" s="2" t="s">
        <v>4717</v>
      </c>
      <c r="AP608" s="2" t="s">
        <v>3233</v>
      </c>
      <c r="AQ608" s="2"/>
      <c r="AR608" s="16" t="s">
        <v>4650</v>
      </c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</row>
    <row r="609" spans="3:58" ht="17.25" customHeight="1">
      <c r="C609" s="1">
        <v>43973</v>
      </c>
      <c r="E609" s="2" t="s">
        <v>1559</v>
      </c>
      <c r="F609" s="15"/>
      <c r="G609" s="2" t="s">
        <v>4685</v>
      </c>
      <c r="H609" s="2" t="s">
        <v>4684</v>
      </c>
      <c r="I609" s="2"/>
      <c r="J609" s="2">
        <v>1</v>
      </c>
      <c r="K609" s="2"/>
      <c r="L609" s="3">
        <v>83.5</v>
      </c>
      <c r="M609" s="3">
        <v>8.35</v>
      </c>
      <c r="N609" s="3">
        <v>4.22</v>
      </c>
      <c r="O609" s="3">
        <v>0</v>
      </c>
      <c r="P609" s="3">
        <f>5.64-5.64</f>
        <v>0</v>
      </c>
      <c r="Q609" s="6">
        <f t="shared" ref="Q609" si="1374">+L609-M609-N609+P609</f>
        <v>70.930000000000007</v>
      </c>
      <c r="R609" s="3"/>
      <c r="S609" s="3">
        <v>65.19</v>
      </c>
      <c r="T609" s="3">
        <v>4.32</v>
      </c>
      <c r="U609" s="3"/>
      <c r="V609" s="3"/>
      <c r="W609" s="3">
        <f>6.51+0.43</f>
        <v>6.9399999999999995</v>
      </c>
      <c r="X609" s="2">
        <f t="shared" ref="X609" si="1375">+S609+T609++U609+V609-W609</f>
        <v>62.569999999999993</v>
      </c>
      <c r="Y609" s="6">
        <f t="shared" ref="Y609" si="1376">+Q609-X609</f>
        <v>8.3600000000000136</v>
      </c>
      <c r="Z609" s="2"/>
      <c r="AA609" s="2"/>
      <c r="AB609" s="2"/>
      <c r="AC609" s="3"/>
      <c r="AD609" s="2"/>
      <c r="AE609" s="2"/>
      <c r="AF609" s="2"/>
      <c r="AG609" s="2"/>
      <c r="AH609" s="2" t="s">
        <v>4687</v>
      </c>
      <c r="AI609" s="2" t="s">
        <v>4686</v>
      </c>
      <c r="AJ609" s="2"/>
      <c r="AK609" s="2"/>
      <c r="AL609" s="2" t="s">
        <v>4571</v>
      </c>
      <c r="AM609" s="16" t="s">
        <v>5017</v>
      </c>
      <c r="AN609" s="2">
        <v>1</v>
      </c>
      <c r="AO609" s="2" t="s">
        <v>4981</v>
      </c>
      <c r="AP609" s="2" t="s">
        <v>3696</v>
      </c>
      <c r="AQ609" s="2"/>
      <c r="AR609" s="16" t="s">
        <v>4980</v>
      </c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</row>
    <row r="610" spans="3:58" ht="17.25" customHeight="1">
      <c r="C610" s="1">
        <v>43973</v>
      </c>
      <c r="E610" s="2" t="s">
        <v>4505</v>
      </c>
      <c r="F610" s="15"/>
      <c r="G610" s="2" t="s">
        <v>5558</v>
      </c>
      <c r="H610" s="2" t="s">
        <v>6031</v>
      </c>
      <c r="I610" s="2"/>
      <c r="J610" s="2">
        <v>1</v>
      </c>
      <c r="K610" s="2"/>
      <c r="L610" s="3">
        <v>31.65</v>
      </c>
      <c r="M610" s="3">
        <v>3.16</v>
      </c>
      <c r="N610" s="3">
        <v>1.81</v>
      </c>
      <c r="O610" s="3"/>
      <c r="P610" s="3">
        <f>2.57-2.57</f>
        <v>0</v>
      </c>
      <c r="Q610" s="6">
        <f t="shared" ref="Q610:Q611" si="1377">+L610-M610-N610+P610</f>
        <v>26.68</v>
      </c>
      <c r="R610" s="3"/>
      <c r="S610" s="3">
        <v>15.99</v>
      </c>
      <c r="T610" s="3">
        <v>0</v>
      </c>
      <c r="U610" s="3"/>
      <c r="V610" s="3"/>
      <c r="W610" s="3"/>
      <c r="X610" s="2">
        <f t="shared" ref="X610:X611" si="1378">+S610+T610++U610+V610-W610</f>
        <v>15.99</v>
      </c>
      <c r="Y610" s="6">
        <f t="shared" ref="Y610:Y611" si="1379">+Q610-X610</f>
        <v>10.69</v>
      </c>
      <c r="Z610" s="2"/>
      <c r="AA610" s="2"/>
      <c r="AB610" s="2"/>
      <c r="AC610" s="3"/>
      <c r="AD610" s="2"/>
      <c r="AE610" s="2"/>
      <c r="AF610" s="2"/>
      <c r="AG610" s="2"/>
      <c r="AH610" s="2" t="s">
        <v>4683</v>
      </c>
      <c r="AI610" s="2" t="s">
        <v>4682</v>
      </c>
      <c r="AJ610" s="2"/>
      <c r="AK610" s="2"/>
      <c r="AL610" s="2" t="s">
        <v>2926</v>
      </c>
      <c r="AM610" s="16" t="s">
        <v>6032</v>
      </c>
      <c r="AN610" s="2"/>
      <c r="AO610" s="2" t="s">
        <v>4714</v>
      </c>
      <c r="AP610" s="2" t="s">
        <v>4713</v>
      </c>
      <c r="AQ610" s="2"/>
      <c r="AR610" s="29" t="s">
        <v>4640</v>
      </c>
      <c r="AS610" s="16" t="s">
        <v>6033</v>
      </c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</row>
    <row r="611" spans="3:58" ht="17.25" customHeight="1">
      <c r="C611" s="1">
        <v>43973</v>
      </c>
      <c r="E611" s="2" t="s">
        <v>4721</v>
      </c>
      <c r="F611" s="15"/>
      <c r="G611" s="2" t="s">
        <v>3624</v>
      </c>
      <c r="H611" s="2" t="s">
        <v>3623</v>
      </c>
      <c r="I611" s="2"/>
      <c r="J611" s="2">
        <v>1</v>
      </c>
      <c r="K611" s="2"/>
      <c r="L611" s="3">
        <v>29.35</v>
      </c>
      <c r="M611" s="3">
        <v>2.93</v>
      </c>
      <c r="N611" s="3">
        <v>1.7</v>
      </c>
      <c r="O611" s="3"/>
      <c r="P611" s="3">
        <f>2.42-2.42</f>
        <v>0</v>
      </c>
      <c r="Q611" s="6">
        <f t="shared" si="1377"/>
        <v>24.720000000000002</v>
      </c>
      <c r="R611" s="3"/>
      <c r="S611" s="3">
        <v>14.98</v>
      </c>
      <c r="T611" s="3">
        <v>1.33</v>
      </c>
      <c r="U611" s="3">
        <v>0</v>
      </c>
      <c r="V611" s="3"/>
      <c r="W611" s="3">
        <v>0</v>
      </c>
      <c r="X611" s="2">
        <f t="shared" si="1378"/>
        <v>16.310000000000002</v>
      </c>
      <c r="Y611" s="6">
        <f t="shared" si="1379"/>
        <v>8.41</v>
      </c>
      <c r="Z611" s="2"/>
      <c r="AA611" s="2"/>
      <c r="AB611" s="2"/>
      <c r="AC611" s="3"/>
      <c r="AD611" s="2"/>
      <c r="AE611" s="2"/>
      <c r="AF611" s="2"/>
      <c r="AG611" s="2"/>
      <c r="AH611" s="2" t="s">
        <v>3630</v>
      </c>
      <c r="AI611" s="2" t="s">
        <v>3629</v>
      </c>
      <c r="AJ611" s="2"/>
      <c r="AK611" s="2"/>
      <c r="AL611" s="2" t="s">
        <v>4554</v>
      </c>
      <c r="AM611" s="16" t="s">
        <v>4883</v>
      </c>
      <c r="AN611" s="2"/>
      <c r="AO611" s="2" t="s">
        <v>4797</v>
      </c>
      <c r="AP611" s="2" t="s">
        <v>4501</v>
      </c>
      <c r="AQ611" s="2"/>
      <c r="AR611" s="16" t="s">
        <v>4678</v>
      </c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</row>
    <row r="612" spans="3:58" ht="17.25" customHeight="1">
      <c r="C612" s="1">
        <v>43973</v>
      </c>
      <c r="E612" s="2" t="s">
        <v>4075</v>
      </c>
      <c r="F612" s="15"/>
      <c r="G612" s="2" t="s">
        <v>4674</v>
      </c>
      <c r="H612" s="2" t="s">
        <v>4673</v>
      </c>
      <c r="I612" s="2"/>
      <c r="J612" s="2">
        <v>1</v>
      </c>
      <c r="K612" s="2"/>
      <c r="L612" s="3">
        <v>29.5</v>
      </c>
      <c r="M612" s="3">
        <v>2.95</v>
      </c>
      <c r="N612" s="3">
        <v>1.68</v>
      </c>
      <c r="O612" s="3"/>
      <c r="P612" s="3">
        <f>1.77-1.77</f>
        <v>0</v>
      </c>
      <c r="Q612" s="6">
        <f t="shared" ref="Q612" si="1380">+L612-M612-N612+P612</f>
        <v>24.87</v>
      </c>
      <c r="R612" s="3"/>
      <c r="S612" s="3">
        <v>20.89</v>
      </c>
      <c r="T612" s="3">
        <v>1.25</v>
      </c>
      <c r="U612" s="3"/>
      <c r="V612" s="3"/>
      <c r="W612" s="3"/>
      <c r="X612" s="2">
        <f t="shared" ref="X612" si="1381">+S612+T612++U612+V612-W612</f>
        <v>22.14</v>
      </c>
      <c r="Y612" s="6">
        <f t="shared" ref="Y612" si="1382">+Q612-X612</f>
        <v>2.7300000000000004</v>
      </c>
      <c r="Z612" s="2"/>
      <c r="AA612" s="2"/>
      <c r="AB612" s="2"/>
      <c r="AC612" s="3"/>
      <c r="AD612" s="2"/>
      <c r="AE612" s="2"/>
      <c r="AF612" s="2"/>
      <c r="AG612" s="2"/>
      <c r="AH612" s="2" t="s">
        <v>4676</v>
      </c>
      <c r="AI612" s="2" t="s">
        <v>4675</v>
      </c>
      <c r="AJ612" s="2"/>
      <c r="AK612" s="2"/>
      <c r="AL612" s="2" t="s">
        <v>4571</v>
      </c>
      <c r="AM612" s="16" t="s">
        <v>4849</v>
      </c>
      <c r="AN612" s="2"/>
      <c r="AO612" s="2" t="s">
        <v>4824</v>
      </c>
      <c r="AP612" s="2" t="s">
        <v>4825</v>
      </c>
      <c r="AQ612" s="2"/>
      <c r="AR612" s="16" t="s">
        <v>4644</v>
      </c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</row>
    <row r="613" spans="3:58" ht="17.25" customHeight="1">
      <c r="C613" s="1">
        <v>43973</v>
      </c>
      <c r="E613" s="2" t="s">
        <v>60</v>
      </c>
      <c r="F613" s="15"/>
      <c r="G613" s="2" t="s">
        <v>2636</v>
      </c>
      <c r="H613" s="2" t="s">
        <v>2637</v>
      </c>
      <c r="I613" s="2"/>
      <c r="J613" s="2">
        <v>1</v>
      </c>
      <c r="K613" s="2"/>
      <c r="L613" s="3">
        <v>48.5</v>
      </c>
      <c r="M613" s="3">
        <v>4.8499999999999996</v>
      </c>
      <c r="N613" s="3">
        <v>2.6</v>
      </c>
      <c r="O613" s="3">
        <f>3.76</f>
        <v>3.76</v>
      </c>
      <c r="P613" s="3">
        <f>3.76-3.76</f>
        <v>0</v>
      </c>
      <c r="Q613" s="6">
        <f t="shared" ref="Q613" si="1383">+L613-M613-N613+P613</f>
        <v>41.05</v>
      </c>
      <c r="R613" s="3"/>
      <c r="S613" s="3">
        <v>34</v>
      </c>
      <c r="T613" s="3">
        <v>2.64</v>
      </c>
      <c r="U613" s="3"/>
      <c r="V613" s="3"/>
      <c r="W613" s="3"/>
      <c r="X613" s="2">
        <f t="shared" ref="X613" si="1384">+S613+T613++U613+V613-W613</f>
        <v>36.64</v>
      </c>
      <c r="Y613" s="6">
        <f t="shared" ref="Y613" si="1385">+Q613-X613</f>
        <v>4.4099999999999966</v>
      </c>
      <c r="Z613" s="2"/>
      <c r="AA613" s="2"/>
      <c r="AB613" s="2"/>
      <c r="AC613" s="3"/>
      <c r="AD613" s="2"/>
      <c r="AE613" s="2"/>
      <c r="AF613" s="2"/>
      <c r="AG613" s="2"/>
      <c r="AH613" s="2" t="s">
        <v>2639</v>
      </c>
      <c r="AI613" s="2" t="s">
        <v>2638</v>
      </c>
      <c r="AJ613" s="2"/>
      <c r="AK613" s="2"/>
      <c r="AL613" s="2" t="s">
        <v>4882</v>
      </c>
      <c r="AM613" s="2" t="s">
        <v>4881</v>
      </c>
      <c r="AN613" s="2"/>
      <c r="AO613" s="2" t="s">
        <v>4823</v>
      </c>
      <c r="AP613" s="2" t="s">
        <v>3772</v>
      </c>
      <c r="AQ613" s="2"/>
      <c r="AR613" s="16" t="s">
        <v>4556</v>
      </c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</row>
    <row r="614" spans="3:58" ht="17.25" customHeight="1">
      <c r="C614" s="1">
        <v>43973</v>
      </c>
      <c r="E614" s="2" t="s">
        <v>7</v>
      </c>
      <c r="F614" s="15"/>
      <c r="G614" s="2" t="s">
        <v>4667</v>
      </c>
      <c r="H614" s="2" t="s">
        <v>4666</v>
      </c>
      <c r="I614" s="2"/>
      <c r="J614" s="2">
        <v>1</v>
      </c>
      <c r="K614" s="2"/>
      <c r="L614" s="3">
        <v>31.25</v>
      </c>
      <c r="M614" s="3">
        <v>3.12</v>
      </c>
      <c r="N614" s="3">
        <v>1.78</v>
      </c>
      <c r="O614" s="3"/>
      <c r="P614" s="3">
        <f>2.21-2.21</f>
        <v>0</v>
      </c>
      <c r="Q614" s="6">
        <f t="shared" ref="Q614" si="1386">+L614-M614-N614+P614</f>
        <v>26.349999999999998</v>
      </c>
      <c r="R614" s="3"/>
      <c r="S614" s="3">
        <v>18.89</v>
      </c>
      <c r="T614" s="3">
        <v>1.34</v>
      </c>
      <c r="U614" s="3">
        <v>0</v>
      </c>
      <c r="V614" s="3"/>
      <c r="W614" s="3"/>
      <c r="X614" s="2">
        <f t="shared" ref="X614" si="1387">+S614+T614++U614+V614-W614</f>
        <v>20.23</v>
      </c>
      <c r="Y614" s="6">
        <f t="shared" ref="Y614" si="1388">+Q614-X614</f>
        <v>6.1199999999999974</v>
      </c>
      <c r="Z614" s="2"/>
      <c r="AA614" s="2"/>
      <c r="AB614" s="2"/>
      <c r="AC614" s="3"/>
      <c r="AD614" s="2"/>
      <c r="AE614" s="2"/>
      <c r="AF614" s="2"/>
      <c r="AG614" s="2"/>
      <c r="AH614" s="2" t="s">
        <v>4669</v>
      </c>
      <c r="AI614" s="2" t="s">
        <v>4668</v>
      </c>
      <c r="AJ614" s="2"/>
      <c r="AK614" s="2"/>
      <c r="AL614" s="2" t="s">
        <v>4612</v>
      </c>
      <c r="AM614" s="22" t="s">
        <v>4876</v>
      </c>
      <c r="AN614" s="2"/>
      <c r="AO614" s="2" t="s">
        <v>4718</v>
      </c>
      <c r="AP614" s="2" t="s">
        <v>4643</v>
      </c>
      <c r="AQ614" s="2"/>
      <c r="AR614" s="16" t="s">
        <v>4644</v>
      </c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</row>
    <row r="615" spans="3:58" ht="17.25" customHeight="1">
      <c r="C615" s="1">
        <v>43973</v>
      </c>
      <c r="E615" s="2" t="s">
        <v>4505</v>
      </c>
      <c r="F615" s="15"/>
      <c r="G615" s="2" t="s">
        <v>4661</v>
      </c>
      <c r="H615" s="2" t="s">
        <v>4660</v>
      </c>
      <c r="I615" s="2"/>
      <c r="J615" s="2">
        <v>1</v>
      </c>
      <c r="K615" s="2"/>
      <c r="L615" s="3">
        <v>31.65</v>
      </c>
      <c r="M615" s="3">
        <v>3.16</v>
      </c>
      <c r="N615" s="3">
        <v>1.81</v>
      </c>
      <c r="O615" s="3"/>
      <c r="P615" s="3">
        <f>2.57-2.57</f>
        <v>0</v>
      </c>
      <c r="Q615" s="6">
        <f t="shared" ref="Q615" si="1389">+L615-M615-N615+P615</f>
        <v>26.68</v>
      </c>
      <c r="R615" s="3"/>
      <c r="S615" s="3">
        <v>15.99</v>
      </c>
      <c r="T615" s="3">
        <v>0</v>
      </c>
      <c r="U615" s="3"/>
      <c r="V615" s="3"/>
      <c r="W615" s="3"/>
      <c r="X615" s="2">
        <f t="shared" ref="X615" si="1390">+S615+T615++U615+V615-W615</f>
        <v>15.99</v>
      </c>
      <c r="Y615" s="6">
        <f t="shared" ref="Y615" si="1391">+Q615-X615</f>
        <v>10.69</v>
      </c>
      <c r="Z615" s="2"/>
      <c r="AA615" s="2"/>
      <c r="AB615" s="2"/>
      <c r="AC615" s="3"/>
      <c r="AD615" s="2"/>
      <c r="AE615" s="2"/>
      <c r="AF615" s="2"/>
      <c r="AG615" s="2"/>
      <c r="AH615" s="2" t="s">
        <v>4663</v>
      </c>
      <c r="AI615" s="2" t="s">
        <v>4662</v>
      </c>
      <c r="AJ615" s="2"/>
      <c r="AK615" s="2"/>
      <c r="AL615" s="2" t="s">
        <v>4571</v>
      </c>
      <c r="AM615" s="16" t="s">
        <v>4993</v>
      </c>
      <c r="AN615" s="2"/>
      <c r="AO615" s="2" t="s">
        <v>4710</v>
      </c>
      <c r="AP615" s="2" t="s">
        <v>4713</v>
      </c>
      <c r="AQ615" s="2"/>
      <c r="AR615" s="16" t="s">
        <v>4711</v>
      </c>
      <c r="AS615" s="2" t="s">
        <v>4712</v>
      </c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</row>
    <row r="616" spans="3:58" ht="17.25" customHeight="1">
      <c r="C616" s="1">
        <v>43973</v>
      </c>
      <c r="E616" s="2" t="s">
        <v>7</v>
      </c>
      <c r="F616" s="15"/>
      <c r="G616" s="2" t="s">
        <v>4659</v>
      </c>
      <c r="H616" s="2" t="s">
        <v>4658</v>
      </c>
      <c r="I616" s="2"/>
      <c r="J616" s="2">
        <v>1</v>
      </c>
      <c r="K616" s="2"/>
      <c r="L616" s="3">
        <v>31.25</v>
      </c>
      <c r="M616" s="3">
        <v>3.12</v>
      </c>
      <c r="N616" s="3">
        <v>1.8</v>
      </c>
      <c r="O616" s="3"/>
      <c r="P616" s="3">
        <f>2.73-2.73</f>
        <v>0</v>
      </c>
      <c r="Q616" s="6">
        <f t="shared" ref="Q616" si="1392">+L616-M616-N616+P616</f>
        <v>26.33</v>
      </c>
      <c r="R616" s="3"/>
      <c r="S616" s="3">
        <v>18.89</v>
      </c>
      <c r="T616" s="3">
        <v>1.65</v>
      </c>
      <c r="U616" s="3">
        <v>0</v>
      </c>
      <c r="V616" s="3"/>
      <c r="W616" s="3"/>
      <c r="X616" s="2">
        <f t="shared" ref="X616" si="1393">+S616+T616++U616+V616-W616</f>
        <v>20.54</v>
      </c>
      <c r="Y616" s="6">
        <f t="shared" ref="Y616" si="1394">+Q616-X616</f>
        <v>5.7899999999999991</v>
      </c>
      <c r="Z616" s="6">
        <f>SUM(Y605:Y616)</f>
        <v>90.419999999999987</v>
      </c>
      <c r="AA616" s="2"/>
      <c r="AB616" s="2"/>
      <c r="AC616" s="3"/>
      <c r="AD616" s="2"/>
      <c r="AE616" s="2"/>
      <c r="AF616" s="2"/>
      <c r="AG616" s="2"/>
      <c r="AH616" s="2" t="s">
        <v>4665</v>
      </c>
      <c r="AI616" s="2" t="s">
        <v>4664</v>
      </c>
      <c r="AJ616" s="2"/>
      <c r="AK616" s="2"/>
      <c r="AL616" s="2" t="s">
        <v>4609</v>
      </c>
      <c r="AM616" s="16" t="s">
        <v>4794</v>
      </c>
      <c r="AN616" s="2"/>
      <c r="AO616" s="2" t="s">
        <v>4672</v>
      </c>
      <c r="AP616" s="2" t="s">
        <v>4643</v>
      </c>
      <c r="AQ616" s="2"/>
      <c r="AR616" s="16" t="s">
        <v>4644</v>
      </c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</row>
    <row r="617" spans="3:58" ht="17.25" customHeight="1">
      <c r="C617" s="1">
        <v>43972</v>
      </c>
      <c r="E617" s="2" t="s">
        <v>4628</v>
      </c>
      <c r="F617" s="15"/>
      <c r="G617" s="2" t="s">
        <v>4630</v>
      </c>
      <c r="H617" s="2" t="s">
        <v>4629</v>
      </c>
      <c r="I617" s="2"/>
      <c r="J617" s="2">
        <v>1</v>
      </c>
      <c r="K617" s="2"/>
      <c r="L617" s="3">
        <v>83.5</v>
      </c>
      <c r="M617" s="3">
        <v>8.35</v>
      </c>
      <c r="N617" s="3">
        <v>4.2300000000000004</v>
      </c>
      <c r="O617" s="3">
        <v>0</v>
      </c>
      <c r="P617" s="3">
        <f>5.64-5.64</f>
        <v>0</v>
      </c>
      <c r="Q617" s="6">
        <f t="shared" ref="Q617:Q618" si="1395">+L617-M617-N617+P617</f>
        <v>70.92</v>
      </c>
      <c r="R617" s="3"/>
      <c r="S617" s="3">
        <v>65.19</v>
      </c>
      <c r="T617" s="3">
        <v>4.57</v>
      </c>
      <c r="U617" s="3"/>
      <c r="V617" s="3"/>
      <c r="W617" s="3">
        <f>6.51+0.45</f>
        <v>6.96</v>
      </c>
      <c r="X617" s="2">
        <f t="shared" ref="X617:X618" si="1396">+S617+T617++U617+V617-W617</f>
        <v>62.79999999999999</v>
      </c>
      <c r="Y617" s="6">
        <f t="shared" ref="Y617:Y618" si="1397">+Q617-X617</f>
        <v>8.1200000000000117</v>
      </c>
      <c r="Z617" s="2"/>
      <c r="AA617" s="2"/>
      <c r="AB617" s="2"/>
      <c r="AC617" s="3"/>
      <c r="AD617" s="2"/>
      <c r="AE617" s="2"/>
      <c r="AF617" s="2"/>
      <c r="AG617" s="2"/>
      <c r="AH617" s="2" t="s">
        <v>4633</v>
      </c>
      <c r="AI617" s="2" t="s">
        <v>4632</v>
      </c>
      <c r="AJ617" s="2"/>
      <c r="AK617" s="2"/>
      <c r="AL617" s="2" t="s">
        <v>4571</v>
      </c>
      <c r="AM617" s="16" t="s">
        <v>5016</v>
      </c>
      <c r="AN617" s="2">
        <v>1</v>
      </c>
      <c r="AO617" s="2" t="s">
        <v>4979</v>
      </c>
      <c r="AP617" s="2" t="s">
        <v>3696</v>
      </c>
      <c r="AQ617" s="2"/>
      <c r="AR617" s="16" t="s">
        <v>4980</v>
      </c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</row>
    <row r="618" spans="3:58" ht="17.25" customHeight="1">
      <c r="C618" s="1">
        <v>43972</v>
      </c>
      <c r="E618" s="2" t="s">
        <v>7</v>
      </c>
      <c r="F618" s="15"/>
      <c r="G618" s="2" t="s">
        <v>4631</v>
      </c>
      <c r="H618" s="2" t="s">
        <v>4691</v>
      </c>
      <c r="I618" s="2"/>
      <c r="J618" s="2">
        <v>1</v>
      </c>
      <c r="K618" s="2"/>
      <c r="L618" s="3">
        <v>31.25</v>
      </c>
      <c r="M618" s="3">
        <v>3.12</v>
      </c>
      <c r="N618" s="3">
        <v>1.68</v>
      </c>
      <c r="O618" s="3"/>
      <c r="P618" s="3">
        <f>2.5-2.5</f>
        <v>0</v>
      </c>
      <c r="Q618" s="6">
        <f t="shared" si="1395"/>
        <v>26.45</v>
      </c>
      <c r="R618" s="3"/>
      <c r="S618" s="3">
        <v>18.89</v>
      </c>
      <c r="T618" s="3">
        <v>1.51</v>
      </c>
      <c r="U618" s="3">
        <v>0</v>
      </c>
      <c r="V618" s="3"/>
      <c r="W618" s="3"/>
      <c r="X618" s="2">
        <f t="shared" si="1396"/>
        <v>20.400000000000002</v>
      </c>
      <c r="Y618" s="6">
        <f t="shared" si="1397"/>
        <v>6.0499999999999972</v>
      </c>
      <c r="Z618" s="2"/>
      <c r="AA618" s="2"/>
      <c r="AB618" s="2"/>
      <c r="AC618" s="3"/>
      <c r="AD618" s="2"/>
      <c r="AE618" s="2"/>
      <c r="AF618" s="2"/>
      <c r="AG618" s="2"/>
      <c r="AH618" s="2" t="s">
        <v>4635</v>
      </c>
      <c r="AI618" s="2" t="s">
        <v>4634</v>
      </c>
      <c r="AJ618" s="2"/>
      <c r="AK618" s="2"/>
      <c r="AL618" s="2" t="s">
        <v>4609</v>
      </c>
      <c r="AM618" s="16" t="s">
        <v>4692</v>
      </c>
      <c r="AN618" s="2"/>
      <c r="AO618" s="2" t="s">
        <v>4642</v>
      </c>
      <c r="AP618" s="2" t="s">
        <v>4643</v>
      </c>
      <c r="AQ618" s="2"/>
      <c r="AR618" s="16" t="s">
        <v>4644</v>
      </c>
      <c r="AS618" s="2" t="s">
        <v>4645</v>
      </c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</row>
    <row r="619" spans="3:58" ht="17.25" customHeight="1">
      <c r="C619" s="1">
        <v>43972</v>
      </c>
      <c r="E619" s="2" t="s">
        <v>4496</v>
      </c>
      <c r="F619" s="15"/>
      <c r="G619" s="2" t="s">
        <v>4622</v>
      </c>
      <c r="H619" s="2" t="s">
        <v>4621</v>
      </c>
      <c r="I619" s="2"/>
      <c r="J619" s="2">
        <v>1</v>
      </c>
      <c r="K619" s="2"/>
      <c r="L619" s="3">
        <v>22.85</v>
      </c>
      <c r="M619" s="3">
        <v>2.2799999999999998</v>
      </c>
      <c r="N619" s="3">
        <v>1.39</v>
      </c>
      <c r="O619" s="3"/>
      <c r="P619" s="3">
        <f>1.89-1.89</f>
        <v>0</v>
      </c>
      <c r="Q619" s="6">
        <f t="shared" ref="Q619" si="1398">+L619-M619-N619+P619</f>
        <v>19.18</v>
      </c>
      <c r="R619" s="3"/>
      <c r="S619" s="3">
        <v>11.95</v>
      </c>
      <c r="T619" s="3">
        <v>0.99</v>
      </c>
      <c r="U619" s="3"/>
      <c r="V619" s="3"/>
      <c r="W619" s="3"/>
      <c r="X619" s="3">
        <f t="shared" ref="X619" si="1399">+S619+T619++U619+V619-W619</f>
        <v>12.94</v>
      </c>
      <c r="Y619" s="6">
        <f t="shared" ref="Y619" si="1400">+Q619-X619</f>
        <v>6.24</v>
      </c>
      <c r="Z619" s="2"/>
      <c r="AA619" s="2"/>
      <c r="AB619" s="2"/>
      <c r="AC619" s="3"/>
      <c r="AD619" s="2"/>
      <c r="AE619" s="2"/>
      <c r="AF619" s="2"/>
      <c r="AG619" s="2"/>
      <c r="AH619" s="2" t="s">
        <v>4624</v>
      </c>
      <c r="AI619" s="2" t="s">
        <v>4623</v>
      </c>
      <c r="AJ619" s="2"/>
      <c r="AK619" s="2"/>
      <c r="AL619" s="2" t="s">
        <v>4571</v>
      </c>
      <c r="AM619" s="16" t="s">
        <v>4680</v>
      </c>
      <c r="AN619" s="2"/>
      <c r="AO619" s="2" t="s">
        <v>4649</v>
      </c>
      <c r="AP619" s="2" t="s">
        <v>3233</v>
      </c>
      <c r="AQ619" s="2"/>
      <c r="AR619" s="16" t="s">
        <v>4650</v>
      </c>
      <c r="AS619" s="2" t="s">
        <v>4645</v>
      </c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</row>
    <row r="620" spans="3:58" ht="17.25" customHeight="1">
      <c r="C620" s="1">
        <v>43972</v>
      </c>
      <c r="E620" s="2" t="s">
        <v>4578</v>
      </c>
      <c r="F620" s="15"/>
      <c r="G620" s="2" t="s">
        <v>4615</v>
      </c>
      <c r="H620" s="2" t="s">
        <v>4614</v>
      </c>
      <c r="I620" s="2"/>
      <c r="J620" s="2">
        <v>1</v>
      </c>
      <c r="K620" s="2"/>
      <c r="L620" s="3">
        <v>62.5</v>
      </c>
      <c r="M620" s="3">
        <v>6.25</v>
      </c>
      <c r="N620" s="3">
        <v>3.26</v>
      </c>
      <c r="O620" s="3"/>
      <c r="P620" s="3">
        <f>5.25-5.25</f>
        <v>0</v>
      </c>
      <c r="Q620" s="6">
        <f t="shared" ref="Q620" si="1401">+L620-M620-N620+P620</f>
        <v>52.99</v>
      </c>
      <c r="R620" s="3"/>
      <c r="S620" s="3">
        <v>38.979999999999997</v>
      </c>
      <c r="T620" s="3">
        <v>3.27</v>
      </c>
      <c r="U620" s="3">
        <v>0</v>
      </c>
      <c r="V620" s="3"/>
      <c r="W620" s="3"/>
      <c r="X620" s="2">
        <f t="shared" ref="X620" si="1402">+S620+T620++U620+V620-W620</f>
        <v>42.25</v>
      </c>
      <c r="Y620" s="6">
        <f t="shared" ref="Y620" si="1403">+Q620-X620</f>
        <v>10.740000000000002</v>
      </c>
      <c r="Z620" s="2"/>
      <c r="AA620" s="2"/>
      <c r="AB620" s="2"/>
      <c r="AC620" s="3"/>
      <c r="AD620" s="2"/>
      <c r="AE620" s="2"/>
      <c r="AF620" s="2"/>
      <c r="AG620" s="2"/>
      <c r="AH620" s="2" t="s">
        <v>4617</v>
      </c>
      <c r="AI620" s="2" t="s">
        <v>4616</v>
      </c>
      <c r="AJ620" s="2"/>
      <c r="AK620" s="2"/>
      <c r="AL620" s="2" t="s">
        <v>4911</v>
      </c>
      <c r="AM620" s="2" t="s">
        <v>5143</v>
      </c>
      <c r="AN620" s="2"/>
      <c r="AO620" s="2" t="s">
        <v>4648</v>
      </c>
      <c r="AP620" s="2" t="s">
        <v>4501</v>
      </c>
      <c r="AQ620" s="2"/>
      <c r="AR620" s="16" t="s">
        <v>4647</v>
      </c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</row>
    <row r="621" spans="3:58" ht="17.25" customHeight="1">
      <c r="C621" s="1">
        <v>43972</v>
      </c>
      <c r="E621" s="2" t="s">
        <v>4578</v>
      </c>
      <c r="F621" s="15"/>
      <c r="G621" s="2" t="s">
        <v>4604</v>
      </c>
      <c r="H621" s="2" t="s">
        <v>4603</v>
      </c>
      <c r="I621" s="2"/>
      <c r="J621" s="2">
        <v>1</v>
      </c>
      <c r="K621" s="2"/>
      <c r="L621" s="3">
        <v>62.35</v>
      </c>
      <c r="M621" s="3">
        <v>6.25</v>
      </c>
      <c r="N621" s="3">
        <v>3.26</v>
      </c>
      <c r="O621" s="3"/>
      <c r="P621" s="3">
        <f>4.84-4.84</f>
        <v>0</v>
      </c>
      <c r="Q621" s="6">
        <f t="shared" ref="Q621" si="1404">+L621-M621-N621+P621</f>
        <v>52.84</v>
      </c>
      <c r="R621" s="3"/>
      <c r="S621" s="3">
        <v>38.979999999999997</v>
      </c>
      <c r="T621" s="3">
        <v>3.02</v>
      </c>
      <c r="U621" s="3">
        <v>0</v>
      </c>
      <c r="V621" s="3"/>
      <c r="W621" s="3"/>
      <c r="X621" s="2">
        <f t="shared" ref="X621" si="1405">+S621+T621++U621+V621-W621</f>
        <v>42</v>
      </c>
      <c r="Y621" s="6">
        <f t="shared" ref="Y621" si="1406">+Q621-X621</f>
        <v>10.840000000000003</v>
      </c>
      <c r="Z621" s="2"/>
      <c r="AA621" s="2"/>
      <c r="AB621" s="2"/>
      <c r="AC621" s="3"/>
      <c r="AD621" s="2"/>
      <c r="AE621" s="2"/>
      <c r="AF621" s="2"/>
      <c r="AG621" s="2"/>
      <c r="AH621" s="2" t="s">
        <v>4606</v>
      </c>
      <c r="AI621" s="2" t="s">
        <v>4605</v>
      </c>
      <c r="AJ621" s="2"/>
      <c r="AK621" s="2"/>
      <c r="AL621" s="2" t="s">
        <v>4554</v>
      </c>
      <c r="AM621" s="2" t="s">
        <v>5290</v>
      </c>
      <c r="AN621" s="2"/>
      <c r="AO621" s="2" t="s">
        <v>4646</v>
      </c>
      <c r="AP621" s="2" t="s">
        <v>4501</v>
      </c>
      <c r="AQ621" s="2"/>
      <c r="AR621" s="16" t="s">
        <v>4647</v>
      </c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</row>
    <row r="622" spans="3:58" ht="17.25" customHeight="1">
      <c r="C622" s="1">
        <v>43972</v>
      </c>
      <c r="E622" s="2" t="s">
        <v>4595</v>
      </c>
      <c r="F622" s="15"/>
      <c r="G622" s="2" t="s">
        <v>4597</v>
      </c>
      <c r="H622" s="2" t="s">
        <v>4596</v>
      </c>
      <c r="I622" s="2"/>
      <c r="J622" s="2">
        <v>1</v>
      </c>
      <c r="K622" s="2"/>
      <c r="L622" s="3">
        <v>75</v>
      </c>
      <c r="M622" s="3">
        <v>7.5</v>
      </c>
      <c r="N622" s="3">
        <v>3.89</v>
      </c>
      <c r="O622" s="3">
        <v>0</v>
      </c>
      <c r="P622" s="3">
        <f>6.66-6.66</f>
        <v>0</v>
      </c>
      <c r="Q622" s="6">
        <f t="shared" ref="Q622" si="1407">+L622-M622-N622+P622</f>
        <v>63.61</v>
      </c>
      <c r="R622" s="3"/>
      <c r="S622" s="3">
        <v>59.19</v>
      </c>
      <c r="T622" s="3">
        <v>5.26</v>
      </c>
      <c r="U622" s="3"/>
      <c r="V622" s="3"/>
      <c r="W622" s="3">
        <f>5.91+0.52</f>
        <v>6.43</v>
      </c>
      <c r="X622" s="2">
        <f t="shared" ref="X622" si="1408">+S622+T622++U622+V622-W622</f>
        <v>58.02</v>
      </c>
      <c r="Y622" s="6">
        <f t="shared" ref="Y622" si="1409">+Q622-X622</f>
        <v>5.5899999999999963</v>
      </c>
      <c r="Z622" s="2"/>
      <c r="AA622" s="2"/>
      <c r="AB622" s="2"/>
      <c r="AC622" s="3"/>
      <c r="AD622" s="2"/>
      <c r="AE622" s="2"/>
      <c r="AF622" s="2"/>
      <c r="AG622" s="2"/>
      <c r="AH622" s="2" t="s">
        <v>4601</v>
      </c>
      <c r="AI622" s="2" t="s">
        <v>4602</v>
      </c>
      <c r="AJ622" s="2"/>
      <c r="AK622" s="2"/>
      <c r="AL622" s="2" t="s">
        <v>4612</v>
      </c>
      <c r="AM622" s="16" t="s">
        <v>5079</v>
      </c>
      <c r="AN622" s="2">
        <v>1</v>
      </c>
      <c r="AO622" s="2" t="s">
        <v>5005</v>
      </c>
      <c r="AP622" s="2" t="s">
        <v>3696</v>
      </c>
      <c r="AQ622" s="2"/>
      <c r="AR622" s="16" t="s">
        <v>4980</v>
      </c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</row>
    <row r="623" spans="3:58" ht="17.25" customHeight="1">
      <c r="C623" s="1">
        <v>43972</v>
      </c>
      <c r="E623" s="2" t="s">
        <v>7</v>
      </c>
      <c r="F623" s="15"/>
      <c r="G623" s="2" t="s">
        <v>4583</v>
      </c>
      <c r="H623" s="2" t="s">
        <v>4641</v>
      </c>
      <c r="I623" s="2"/>
      <c r="J623" s="2">
        <v>1</v>
      </c>
      <c r="K623" s="2"/>
      <c r="L623" s="3">
        <v>31.25</v>
      </c>
      <c r="M623" s="3">
        <v>3.12</v>
      </c>
      <c r="N623" s="3">
        <v>1.68</v>
      </c>
      <c r="O623" s="3"/>
      <c r="P623" s="3">
        <f>1.88-1.88</f>
        <v>0</v>
      </c>
      <c r="Q623" s="6">
        <f t="shared" ref="Q623" si="1410">+L623-M623-N623+P623</f>
        <v>26.45</v>
      </c>
      <c r="R623" s="3"/>
      <c r="S623" s="3">
        <v>18.89</v>
      </c>
      <c r="T623" s="3">
        <v>2.17</v>
      </c>
      <c r="U623" s="3">
        <v>0</v>
      </c>
      <c r="V623" s="3"/>
      <c r="W623" s="3"/>
      <c r="X623" s="2">
        <f t="shared" ref="X623" si="1411">+S623+T623++U623+V623-W623</f>
        <v>21.060000000000002</v>
      </c>
      <c r="Y623" s="6">
        <f t="shared" ref="Y623" si="1412">+Q623-X623</f>
        <v>5.389999999999997</v>
      </c>
      <c r="Z623" s="6">
        <f>SUM(Y617:Y623)</f>
        <v>52.970000000000013</v>
      </c>
      <c r="AA623" s="2"/>
      <c r="AB623" s="2"/>
      <c r="AC623" s="3"/>
      <c r="AD623" s="2"/>
      <c r="AE623" s="2"/>
      <c r="AF623" s="2"/>
      <c r="AG623" s="2"/>
      <c r="AH623" s="2" t="s">
        <v>4585</v>
      </c>
      <c r="AI623" s="2" t="s">
        <v>4584</v>
      </c>
      <c r="AJ623" s="2"/>
      <c r="AK623" s="2"/>
      <c r="AL623" s="2" t="s">
        <v>4554</v>
      </c>
      <c r="AM623" s="16" t="s">
        <v>5014</v>
      </c>
      <c r="AN623" s="2"/>
      <c r="AO623" s="2" t="s">
        <v>4677</v>
      </c>
      <c r="AP623" s="2" t="s">
        <v>591</v>
      </c>
      <c r="AQ623" s="2"/>
      <c r="AR623" s="16" t="s">
        <v>4678</v>
      </c>
      <c r="AS623" s="2" t="s">
        <v>4679</v>
      </c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</row>
    <row r="624" spans="3:58" ht="17.25" customHeight="1">
      <c r="C624" s="1">
        <v>43971</v>
      </c>
      <c r="E624" s="2" t="s">
        <v>1559</v>
      </c>
      <c r="F624" s="15"/>
      <c r="G624" s="2" t="s">
        <v>4574</v>
      </c>
      <c r="H624" s="2" t="s">
        <v>4573</v>
      </c>
      <c r="I624" s="2"/>
      <c r="J624" s="2">
        <v>1</v>
      </c>
      <c r="K624" s="2"/>
      <c r="L624" s="3">
        <v>83.5</v>
      </c>
      <c r="M624" s="3">
        <v>8.35</v>
      </c>
      <c r="N624" s="3">
        <v>4.22</v>
      </c>
      <c r="O624" s="3">
        <v>0</v>
      </c>
      <c r="P624" s="3">
        <f>5.64-5.64</f>
        <v>0</v>
      </c>
      <c r="Q624" s="6">
        <f t="shared" ref="Q624" si="1413">+L624-M624-N624+P624</f>
        <v>70.930000000000007</v>
      </c>
      <c r="R624" s="3"/>
      <c r="S624" s="3">
        <v>65.19</v>
      </c>
      <c r="T624" s="3">
        <v>4.4000000000000004</v>
      </c>
      <c r="U624" s="3"/>
      <c r="V624" s="3"/>
      <c r="W624" s="3">
        <f>6.51+0.44</f>
        <v>6.95</v>
      </c>
      <c r="X624" s="2">
        <f t="shared" ref="X624" si="1414">+S624+T624++U624+V624-W624</f>
        <v>62.64</v>
      </c>
      <c r="Y624" s="6">
        <f t="shared" ref="Y624" si="1415">+Q624-X624</f>
        <v>8.2900000000000063</v>
      </c>
      <c r="Z624" s="2"/>
      <c r="AA624" s="2"/>
      <c r="AB624" s="2"/>
      <c r="AC624" s="3"/>
      <c r="AD624" s="2"/>
      <c r="AE624" s="2"/>
      <c r="AF624" s="2"/>
      <c r="AG624" s="2"/>
      <c r="AH624" s="2" t="s">
        <v>4576</v>
      </c>
      <c r="AI624" s="2" t="s">
        <v>4575</v>
      </c>
      <c r="AJ624" s="2"/>
      <c r="AK624" s="2"/>
      <c r="AL624" s="2" t="s">
        <v>4609</v>
      </c>
      <c r="AM624" s="16" t="s">
        <v>4946</v>
      </c>
      <c r="AN624" s="2">
        <v>1</v>
      </c>
      <c r="AO624" s="2" t="s">
        <v>5040</v>
      </c>
      <c r="AP624" s="2" t="s">
        <v>3696</v>
      </c>
      <c r="AQ624" s="2"/>
      <c r="AR624" s="16" t="s">
        <v>4922</v>
      </c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</row>
    <row r="625" spans="3:58" ht="17.25" customHeight="1">
      <c r="C625" s="1">
        <v>43971</v>
      </c>
      <c r="E625" s="2" t="s">
        <v>4578</v>
      </c>
      <c r="F625" s="15"/>
      <c r="G625" s="2" t="s">
        <v>4566</v>
      </c>
      <c r="H625" s="2" t="s">
        <v>4580</v>
      </c>
      <c r="I625" s="2"/>
      <c r="J625" s="2">
        <v>1</v>
      </c>
      <c r="K625" s="2"/>
      <c r="L625" s="3">
        <v>61.5</v>
      </c>
      <c r="M625" s="3">
        <v>6.15</v>
      </c>
      <c r="N625" s="3">
        <v>3.19</v>
      </c>
      <c r="O625" s="3"/>
      <c r="P625" s="3">
        <f>4.07-4.07</f>
        <v>0</v>
      </c>
      <c r="Q625" s="6">
        <f t="shared" ref="Q625" si="1416">+L625-M625-N625+P625</f>
        <v>52.160000000000004</v>
      </c>
      <c r="R625" s="3"/>
      <c r="S625" s="3">
        <v>38.979999999999997</v>
      </c>
      <c r="T625" s="3">
        <v>2.57</v>
      </c>
      <c r="U625" s="3">
        <v>0</v>
      </c>
      <c r="V625" s="3"/>
      <c r="W625" s="3"/>
      <c r="X625" s="2">
        <f t="shared" ref="X625" si="1417">+S625+T625++U625+V625-W625</f>
        <v>41.55</v>
      </c>
      <c r="Y625" s="6">
        <f t="shared" ref="Y625" si="1418">+Q625-X625</f>
        <v>10.610000000000007</v>
      </c>
      <c r="Z625" s="2"/>
      <c r="AA625" s="2"/>
      <c r="AB625" s="2"/>
      <c r="AC625" s="3"/>
      <c r="AD625" s="2"/>
      <c r="AE625" s="2"/>
      <c r="AF625" s="2"/>
      <c r="AG625" s="2"/>
      <c r="AH625" s="2" t="s">
        <v>4582</v>
      </c>
      <c r="AI625" s="2" t="s">
        <v>4581</v>
      </c>
      <c r="AJ625" s="2"/>
      <c r="AK625" s="2"/>
      <c r="AL625" s="2" t="s">
        <v>745</v>
      </c>
      <c r="AM625" s="16" t="s">
        <v>5637</v>
      </c>
      <c r="AN625" s="2"/>
      <c r="AO625" s="2" t="s">
        <v>4639</v>
      </c>
      <c r="AP625" s="2" t="s">
        <v>4501</v>
      </c>
      <c r="AQ625" s="2"/>
      <c r="AR625" s="16" t="s">
        <v>4640</v>
      </c>
      <c r="AS625" s="16" t="s">
        <v>5852</v>
      </c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</row>
    <row r="626" spans="3:58" ht="17.25" customHeight="1">
      <c r="C626" s="1">
        <v>43971</v>
      </c>
      <c r="E626" s="2" t="s">
        <v>4578</v>
      </c>
      <c r="F626" s="15"/>
      <c r="G626" s="2" t="s">
        <v>4563</v>
      </c>
      <c r="H626" s="2" t="s">
        <v>4577</v>
      </c>
      <c r="I626" s="2"/>
      <c r="J626" s="2">
        <v>0</v>
      </c>
      <c r="K626" s="2"/>
      <c r="L626" s="3">
        <v>0</v>
      </c>
      <c r="M626" s="3">
        <v>0</v>
      </c>
      <c r="N626" s="3">
        <v>0</v>
      </c>
      <c r="O626" s="3"/>
      <c r="P626" s="3">
        <v>0</v>
      </c>
      <c r="Q626" s="6">
        <f t="shared" ref="Q626" si="1419">+L626-M626-N626+P626</f>
        <v>0</v>
      </c>
      <c r="R626" s="3"/>
      <c r="S626" s="3">
        <v>0</v>
      </c>
      <c r="T626" s="3">
        <v>0</v>
      </c>
      <c r="U626" s="3">
        <v>0</v>
      </c>
      <c r="V626" s="3"/>
      <c r="W626" s="3"/>
      <c r="X626" s="2">
        <f t="shared" ref="X626" si="1420">+S626+T626++U626+V626-W626</f>
        <v>0</v>
      </c>
      <c r="Y626" s="6">
        <f t="shared" ref="Y626" si="1421">+Q626-X626</f>
        <v>0</v>
      </c>
      <c r="Z626" s="2"/>
      <c r="AA626" s="2"/>
      <c r="AB626" s="2"/>
      <c r="AC626" s="3"/>
      <c r="AD626" s="2"/>
      <c r="AE626" s="2"/>
      <c r="AF626" s="2"/>
      <c r="AG626" s="2"/>
      <c r="AH626" s="2" t="s">
        <v>4565</v>
      </c>
      <c r="AI626" s="2" t="s">
        <v>4564</v>
      </c>
      <c r="AJ626" s="2"/>
      <c r="AK626" s="2"/>
      <c r="AL626" s="2"/>
      <c r="AM626" s="5" t="s">
        <v>4625</v>
      </c>
      <c r="AN626" s="2"/>
      <c r="AO626" s="5" t="s">
        <v>4625</v>
      </c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</row>
    <row r="627" spans="3:58" ht="17.25" customHeight="1">
      <c r="C627" s="1">
        <v>43971</v>
      </c>
      <c r="E627" s="2" t="s">
        <v>4578</v>
      </c>
      <c r="F627" s="15"/>
      <c r="G627" s="2" t="s">
        <v>4558</v>
      </c>
      <c r="H627" s="2" t="s">
        <v>4557</v>
      </c>
      <c r="I627" s="2"/>
      <c r="J627" s="2">
        <v>1</v>
      </c>
      <c r="K627" s="2"/>
      <c r="L627" s="3">
        <v>61.35</v>
      </c>
      <c r="M627" s="3">
        <v>6.13</v>
      </c>
      <c r="N627" s="3">
        <v>3.11</v>
      </c>
      <c r="O627" s="3"/>
      <c r="P627" s="3">
        <f>2.46-2.46</f>
        <v>0</v>
      </c>
      <c r="Q627" s="6">
        <f t="shared" ref="Q627" si="1422">+L627-M627-N627+P627</f>
        <v>52.11</v>
      </c>
      <c r="R627" s="3"/>
      <c r="S627" s="3">
        <v>38.979999999999997</v>
      </c>
      <c r="T627" s="3">
        <v>1.56</v>
      </c>
      <c r="U627" s="3">
        <v>0</v>
      </c>
      <c r="V627" s="3"/>
      <c r="W627" s="3"/>
      <c r="X627" s="2">
        <f t="shared" ref="X627" si="1423">+S627+T627++U627+V627-W627</f>
        <v>40.54</v>
      </c>
      <c r="Y627" s="6">
        <f t="shared" ref="Y627:Y628" si="1424">+Q627-X627</f>
        <v>11.57</v>
      </c>
      <c r="Z627" s="2"/>
      <c r="AA627" s="2"/>
      <c r="AB627" s="2"/>
      <c r="AC627" s="3"/>
      <c r="AD627" s="2"/>
      <c r="AE627" s="2"/>
      <c r="AF627" s="2"/>
      <c r="AG627" s="2"/>
      <c r="AH627" s="2" t="s">
        <v>4560</v>
      </c>
      <c r="AI627" s="2" t="s">
        <v>4559</v>
      </c>
      <c r="AJ627" s="2"/>
      <c r="AK627" s="2"/>
      <c r="AL627" s="2" t="s">
        <v>4554</v>
      </c>
      <c r="AM627" s="2" t="s">
        <v>4638</v>
      </c>
      <c r="AN627" s="2"/>
      <c r="AO627" s="2" t="s">
        <v>4618</v>
      </c>
      <c r="AP627" s="2" t="s">
        <v>4619</v>
      </c>
      <c r="AQ627" s="2"/>
      <c r="AR627" s="16" t="s">
        <v>4594</v>
      </c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</row>
    <row r="628" spans="3:58" ht="17.25" customHeight="1">
      <c r="C628" s="1">
        <v>43971</v>
      </c>
      <c r="E628" s="2" t="s">
        <v>4496</v>
      </c>
      <c r="F628" s="15"/>
      <c r="G628" s="2" t="s">
        <v>4547</v>
      </c>
      <c r="H628" s="2" t="s">
        <v>4546</v>
      </c>
      <c r="I628" s="2"/>
      <c r="J628" s="2">
        <v>1</v>
      </c>
      <c r="K628" s="2"/>
      <c r="L628" s="3">
        <v>22.85</v>
      </c>
      <c r="M628" s="3">
        <v>2.2799999999999998</v>
      </c>
      <c r="N628" s="3">
        <v>1.38</v>
      </c>
      <c r="O628" s="3"/>
      <c r="P628" s="3">
        <f>1.66-1.66</f>
        <v>0</v>
      </c>
      <c r="Q628" s="6">
        <f t="shared" ref="Q628" si="1425">+L628-M628-N628+P628</f>
        <v>19.190000000000001</v>
      </c>
      <c r="R628" s="3"/>
      <c r="S628" s="3">
        <v>11.95</v>
      </c>
      <c r="T628" s="3">
        <v>0.87</v>
      </c>
      <c r="U628" s="3"/>
      <c r="V628" s="3"/>
      <c r="W628" s="3"/>
      <c r="X628" s="3">
        <f t="shared" ref="X628" si="1426">+S628+T628++U628+V628-W628</f>
        <v>12.819999999999999</v>
      </c>
      <c r="Y628" s="6">
        <f t="shared" si="1424"/>
        <v>6.3700000000000028</v>
      </c>
      <c r="Z628" s="2"/>
      <c r="AA628" s="2"/>
      <c r="AB628" s="2"/>
      <c r="AC628" s="3"/>
      <c r="AD628" s="2"/>
      <c r="AE628" s="2"/>
      <c r="AF628" s="2"/>
      <c r="AG628" s="2"/>
      <c r="AH628" s="2" t="s">
        <v>4549</v>
      </c>
      <c r="AI628" s="2" t="s">
        <v>4548</v>
      </c>
      <c r="AJ628" s="2"/>
      <c r="AK628" s="2"/>
      <c r="AL628" s="2" t="s">
        <v>4571</v>
      </c>
      <c r="AM628" s="16" t="s">
        <v>4570</v>
      </c>
      <c r="AN628" s="2"/>
      <c r="AO628" s="2" t="s">
        <v>4551</v>
      </c>
      <c r="AP628" s="2" t="s">
        <v>3233</v>
      </c>
      <c r="AQ628" s="2"/>
      <c r="AR628" s="16" t="s">
        <v>4518</v>
      </c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</row>
    <row r="629" spans="3:58" ht="17.25" customHeight="1">
      <c r="C629" s="1">
        <v>43971</v>
      </c>
      <c r="E629" s="2" t="s">
        <v>7</v>
      </c>
      <c r="F629" s="15"/>
      <c r="G629" s="2" t="s">
        <v>4531</v>
      </c>
      <c r="H629" s="2" t="s">
        <v>5144</v>
      </c>
      <c r="I629" s="2"/>
      <c r="J629" s="2">
        <v>1</v>
      </c>
      <c r="K629" s="2"/>
      <c r="L629" s="3">
        <v>31.25</v>
      </c>
      <c r="M629" s="3">
        <v>3.12</v>
      </c>
      <c r="N629" s="3">
        <v>1.77</v>
      </c>
      <c r="O629" s="3"/>
      <c r="P629" s="3">
        <f>1.88-1.88</f>
        <v>0</v>
      </c>
      <c r="Q629" s="6">
        <f t="shared" ref="Q629" si="1427">+L629-M629-N629+P629</f>
        <v>26.36</v>
      </c>
      <c r="R629" s="3"/>
      <c r="S629" s="3">
        <v>19.899999999999999</v>
      </c>
      <c r="T629" s="3">
        <v>1.39</v>
      </c>
      <c r="U629" s="3">
        <v>0</v>
      </c>
      <c r="V629" s="3"/>
      <c r="W629" s="3"/>
      <c r="X629" s="2">
        <f t="shared" ref="X629" si="1428">+S629+T629++U629+V629-W629</f>
        <v>21.29</v>
      </c>
      <c r="Y629" s="6">
        <f t="shared" ref="Y629" si="1429">+Q629-X629</f>
        <v>5.07</v>
      </c>
      <c r="Z629" s="2"/>
      <c r="AA629" s="2"/>
      <c r="AB629" s="2"/>
      <c r="AC629" s="3"/>
      <c r="AD629" s="2"/>
      <c r="AE629" s="2"/>
      <c r="AF629" s="2"/>
      <c r="AG629" s="2"/>
      <c r="AH629" s="2" t="s">
        <v>4562</v>
      </c>
      <c r="AI629" s="2" t="s">
        <v>4561</v>
      </c>
      <c r="AJ629" s="2"/>
      <c r="AK629" s="2"/>
      <c r="AL629" s="2" t="s">
        <v>4554</v>
      </c>
      <c r="AM629" s="2" t="s">
        <v>5145</v>
      </c>
      <c r="AN629" s="2"/>
      <c r="AO629" s="2" t="s">
        <v>4598</v>
      </c>
      <c r="AP629" s="2" t="s">
        <v>4600</v>
      </c>
      <c r="AQ629" s="2"/>
      <c r="AR629" s="16" t="s">
        <v>4599</v>
      </c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</row>
    <row r="630" spans="3:58" ht="17.25" customHeight="1">
      <c r="C630" s="1">
        <v>43971</v>
      </c>
      <c r="E630" s="2" t="s">
        <v>4520</v>
      </c>
      <c r="F630" s="15"/>
      <c r="G630" s="2" t="s">
        <v>4525</v>
      </c>
      <c r="H630" s="2" t="s">
        <v>4524</v>
      </c>
      <c r="I630" s="2"/>
      <c r="J630" s="2">
        <v>1</v>
      </c>
      <c r="K630" s="2"/>
      <c r="L630" s="3">
        <v>81.5</v>
      </c>
      <c r="M630" s="3">
        <v>8.15</v>
      </c>
      <c r="N630" s="3">
        <v>4.2</v>
      </c>
      <c r="O630" s="3">
        <v>0</v>
      </c>
      <c r="P630" s="3">
        <f>7.03-7.03</f>
        <v>0</v>
      </c>
      <c r="Q630" s="6">
        <f t="shared" ref="Q630" si="1430">+L630-M630-N630+P630</f>
        <v>69.149999999999991</v>
      </c>
      <c r="R630" s="3"/>
      <c r="S630" s="3">
        <v>65.19</v>
      </c>
      <c r="T630" s="3">
        <v>5.62</v>
      </c>
      <c r="U630" s="3"/>
      <c r="V630" s="3"/>
      <c r="W630" s="3">
        <f>6.51+0.56</f>
        <v>7.07</v>
      </c>
      <c r="X630" s="2">
        <f t="shared" ref="X630" si="1431">+S630+T630++U630+V630-W630</f>
        <v>63.74</v>
      </c>
      <c r="Y630" s="6">
        <f t="shared" ref="Y630" si="1432">+Q630-X630</f>
        <v>5.4099999999999895</v>
      </c>
      <c r="Z630" s="2"/>
      <c r="AA630" s="2"/>
      <c r="AB630" s="2"/>
      <c r="AC630" s="3"/>
      <c r="AD630" s="2"/>
      <c r="AE630" s="2"/>
      <c r="AF630" s="2"/>
      <c r="AG630" s="2"/>
      <c r="AH630" s="2" t="s">
        <v>4533</v>
      </c>
      <c r="AI630" s="2" t="s">
        <v>4532</v>
      </c>
      <c r="AJ630" s="2"/>
      <c r="AK630" s="2"/>
      <c r="AL630" s="2" t="s">
        <v>4571</v>
      </c>
      <c r="AM630" s="16" t="s">
        <v>4681</v>
      </c>
      <c r="AN630" s="2">
        <v>1</v>
      </c>
      <c r="AO630" s="2" t="s">
        <v>4657</v>
      </c>
      <c r="AP630" s="2" t="s">
        <v>3696</v>
      </c>
      <c r="AQ630" s="2"/>
      <c r="AR630" s="16" t="s">
        <v>4650</v>
      </c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</row>
    <row r="631" spans="3:58" ht="17.25" customHeight="1">
      <c r="C631" s="1">
        <v>43971</v>
      </c>
      <c r="E631" s="2" t="s">
        <v>4521</v>
      </c>
      <c r="F631" s="15"/>
      <c r="G631" s="2" t="s">
        <v>4523</v>
      </c>
      <c r="H631" s="2" t="s">
        <v>4522</v>
      </c>
      <c r="I631" s="2"/>
      <c r="J631" s="2">
        <v>1</v>
      </c>
      <c r="K631" s="2"/>
      <c r="L631" s="3">
        <v>83.5</v>
      </c>
      <c r="M631" s="3">
        <v>8.35</v>
      </c>
      <c r="N631" s="3">
        <v>4.2300000000000004</v>
      </c>
      <c r="O631" s="3">
        <v>0</v>
      </c>
      <c r="P631" s="3">
        <f>7.2-7.2</f>
        <v>0</v>
      </c>
      <c r="Q631" s="6">
        <f t="shared" ref="Q631" si="1433">+L631-M631-N631+P631</f>
        <v>70.92</v>
      </c>
      <c r="R631" s="3"/>
      <c r="S631" s="3">
        <v>65.19</v>
      </c>
      <c r="T631" s="3">
        <v>4.5599999999999996</v>
      </c>
      <c r="U631" s="3"/>
      <c r="V631" s="3"/>
      <c r="W631" s="3">
        <f>6.51+0.56</f>
        <v>7.07</v>
      </c>
      <c r="X631" s="2">
        <f t="shared" ref="X631" si="1434">+S631+T631++U631+V631-W631</f>
        <v>62.68</v>
      </c>
      <c r="Y631" s="6">
        <f t="shared" ref="Y631" si="1435">+Q631-X631</f>
        <v>8.240000000000002</v>
      </c>
      <c r="Z631" s="2"/>
      <c r="AA631" s="2"/>
      <c r="AB631" s="2"/>
      <c r="AC631" s="3"/>
      <c r="AD631" s="2"/>
      <c r="AE631" s="2"/>
      <c r="AF631" s="2"/>
      <c r="AG631" s="2"/>
      <c r="AH631" s="2" t="s">
        <v>4527</v>
      </c>
      <c r="AI631" s="2" t="s">
        <v>4526</v>
      </c>
      <c r="AJ631" s="2"/>
      <c r="AK631" s="2"/>
      <c r="AL631" s="2" t="s">
        <v>4571</v>
      </c>
      <c r="AM631" s="16" t="s">
        <v>5015</v>
      </c>
      <c r="AN631" s="2">
        <v>1</v>
      </c>
      <c r="AO631" s="2" t="s">
        <v>4947</v>
      </c>
      <c r="AP631" s="2" t="s">
        <v>3696</v>
      </c>
      <c r="AQ631" s="2"/>
      <c r="AR631" s="16" t="s">
        <v>4922</v>
      </c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</row>
    <row r="632" spans="3:58" ht="17.25" customHeight="1">
      <c r="C632" s="1">
        <v>43971</v>
      </c>
      <c r="E632" s="2" t="s">
        <v>1698</v>
      </c>
      <c r="F632" s="15"/>
      <c r="G632" s="2" t="s">
        <v>4515</v>
      </c>
      <c r="H632" s="2" t="s">
        <v>4514</v>
      </c>
      <c r="I632" s="2"/>
      <c r="J632" s="2">
        <v>1</v>
      </c>
      <c r="K632" s="2"/>
      <c r="L632" s="3">
        <v>83.5</v>
      </c>
      <c r="M632" s="3">
        <v>8.35</v>
      </c>
      <c r="N632" s="3">
        <v>4.3099999999999996</v>
      </c>
      <c r="O632" s="3">
        <v>0</v>
      </c>
      <c r="P632" s="3">
        <f>7.72-7.72</f>
        <v>0</v>
      </c>
      <c r="Q632" s="6">
        <f t="shared" ref="Q632:Q633" si="1436">+L632-M632-N632+P632</f>
        <v>70.84</v>
      </c>
      <c r="R632" s="3"/>
      <c r="S632" s="3">
        <v>65.19</v>
      </c>
      <c r="T632" s="3">
        <v>6.03</v>
      </c>
      <c r="U632" s="3"/>
      <c r="V632" s="3"/>
      <c r="W632" s="3">
        <f>6.51</f>
        <v>6.51</v>
      </c>
      <c r="X632" s="2">
        <f t="shared" ref="X632:X633" si="1437">+S632+T632++U632+V632-W632</f>
        <v>64.709999999999994</v>
      </c>
      <c r="Y632" s="6">
        <f t="shared" ref="Y632:Y633" si="1438">+Q632-X632</f>
        <v>6.1300000000000097</v>
      </c>
      <c r="Z632" s="2"/>
      <c r="AA632" s="2"/>
      <c r="AB632" s="2"/>
      <c r="AC632" s="3"/>
      <c r="AD632" s="2"/>
      <c r="AE632" s="2"/>
      <c r="AF632" s="2"/>
      <c r="AG632" s="2"/>
      <c r="AH632" s="2" t="s">
        <v>4529</v>
      </c>
      <c r="AI632" s="2" t="s">
        <v>4528</v>
      </c>
      <c r="AJ632" s="2"/>
      <c r="AK632" s="2"/>
      <c r="AL632" s="2" t="s">
        <v>4609</v>
      </c>
      <c r="AM632" s="16" t="s">
        <v>4943</v>
      </c>
      <c r="AN632" s="2">
        <v>1</v>
      </c>
      <c r="AO632" s="10" t="s">
        <v>4921</v>
      </c>
      <c r="AP632" s="2" t="s">
        <v>3696</v>
      </c>
      <c r="AQ632" s="2"/>
      <c r="AR632" s="16" t="s">
        <v>4922</v>
      </c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</row>
    <row r="633" spans="3:58" ht="17.25" customHeight="1">
      <c r="C633" s="1">
        <v>43971</v>
      </c>
      <c r="E633" s="2" t="s">
        <v>4505</v>
      </c>
      <c r="F633" s="15"/>
      <c r="G633" s="2" t="s">
        <v>3041</v>
      </c>
      <c r="H633" s="2" t="s">
        <v>4545</v>
      </c>
      <c r="I633" s="2"/>
      <c r="J633" s="2">
        <v>1</v>
      </c>
      <c r="K633" s="2"/>
      <c r="L633" s="3">
        <v>31.5</v>
      </c>
      <c r="M633" s="3">
        <v>3.15</v>
      </c>
      <c r="N633" s="3">
        <v>1.81</v>
      </c>
      <c r="O633" s="3"/>
      <c r="P633" s="3">
        <f>1.97-1.97</f>
        <v>0</v>
      </c>
      <c r="Q633" s="6">
        <f t="shared" si="1436"/>
        <v>26.540000000000003</v>
      </c>
      <c r="R633" s="3"/>
      <c r="S633" s="3">
        <v>11.99</v>
      </c>
      <c r="T633" s="3">
        <v>1</v>
      </c>
      <c r="U633" s="3"/>
      <c r="V633" s="3"/>
      <c r="W633" s="3"/>
      <c r="X633" s="2">
        <f t="shared" si="1437"/>
        <v>12.99</v>
      </c>
      <c r="Y633" s="6">
        <f t="shared" si="1438"/>
        <v>13.550000000000002</v>
      </c>
      <c r="Z633" s="2"/>
      <c r="AA633" s="2"/>
      <c r="AB633" s="2"/>
      <c r="AC633" s="3"/>
      <c r="AD633" s="2"/>
      <c r="AE633" s="2"/>
      <c r="AF633" s="2"/>
      <c r="AG633" s="2"/>
      <c r="AH633" s="2" t="s">
        <v>3043</v>
      </c>
      <c r="AI633" s="2" t="s">
        <v>3042</v>
      </c>
      <c r="AJ633" s="2"/>
      <c r="AK633" s="2"/>
      <c r="AL633" s="2" t="s">
        <v>2926</v>
      </c>
      <c r="AM633" s="16" t="s">
        <v>5826</v>
      </c>
      <c r="AN633" s="2"/>
      <c r="AO633" s="2" t="s">
        <v>4542</v>
      </c>
      <c r="AP633" s="2" t="s">
        <v>4543</v>
      </c>
      <c r="AQ633" s="2"/>
      <c r="AR633" s="16" t="s">
        <v>4544</v>
      </c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</row>
    <row r="634" spans="3:58" ht="17.25" customHeight="1">
      <c r="C634" s="1">
        <v>43971</v>
      </c>
      <c r="E634" s="2" t="s">
        <v>4578</v>
      </c>
      <c r="F634" s="15"/>
      <c r="G634" s="2" t="s">
        <v>4507</v>
      </c>
      <c r="H634" s="2" t="s">
        <v>4506</v>
      </c>
      <c r="I634" s="2"/>
      <c r="J634" s="2">
        <v>1</v>
      </c>
      <c r="K634" s="2"/>
      <c r="L634" s="3">
        <v>61.35</v>
      </c>
      <c r="M634" s="3">
        <v>6.13</v>
      </c>
      <c r="N634" s="3">
        <v>3.26</v>
      </c>
      <c r="O634" s="3"/>
      <c r="P634" s="3">
        <f>5.83-5.83</f>
        <v>0</v>
      </c>
      <c r="Q634" s="6">
        <f t="shared" ref="Q634:Q635" si="1439">+L634-M634-N634+P634</f>
        <v>51.96</v>
      </c>
      <c r="R634" s="3"/>
      <c r="S634" s="3">
        <v>38.979999999999997</v>
      </c>
      <c r="T634" s="3">
        <v>3.7</v>
      </c>
      <c r="U634" s="3">
        <v>0</v>
      </c>
      <c r="V634" s="3"/>
      <c r="W634" s="3"/>
      <c r="X634" s="2">
        <f t="shared" ref="X634:X635" si="1440">+S634+T634++U634+V634-W634</f>
        <v>42.68</v>
      </c>
      <c r="Y634" s="6">
        <f t="shared" ref="Y634:Y635" si="1441">+Q634-X634</f>
        <v>9.2800000000000011</v>
      </c>
      <c r="Z634" s="2"/>
      <c r="AA634" s="2"/>
      <c r="AB634" s="2"/>
      <c r="AC634" s="3"/>
      <c r="AD634" s="2"/>
      <c r="AE634" s="2"/>
      <c r="AF634" s="2"/>
      <c r="AG634" s="2"/>
      <c r="AH634" s="2" t="s">
        <v>4508</v>
      </c>
      <c r="AI634" s="2" t="s">
        <v>4509</v>
      </c>
      <c r="AJ634" s="2"/>
      <c r="AK634" s="2"/>
      <c r="AL634" s="2" t="s">
        <v>4571</v>
      </c>
      <c r="AM634" s="16" t="s">
        <v>4847</v>
      </c>
      <c r="AN634" s="2"/>
      <c r="AO634" s="2" t="s">
        <v>4555</v>
      </c>
      <c r="AP634" s="2" t="s">
        <v>4501</v>
      </c>
      <c r="AQ634" s="2"/>
      <c r="AR634" s="16" t="s">
        <v>4556</v>
      </c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</row>
    <row r="635" spans="3:58" ht="17.25" customHeight="1">
      <c r="C635" s="1">
        <v>43971</v>
      </c>
      <c r="E635" s="2" t="s">
        <v>4505</v>
      </c>
      <c r="F635" s="15"/>
      <c r="G635" s="2" t="s">
        <v>4504</v>
      </c>
      <c r="H635" s="2" t="s">
        <v>4503</v>
      </c>
      <c r="I635" s="2"/>
      <c r="J635" s="2">
        <v>1</v>
      </c>
      <c r="K635" s="2"/>
      <c r="L635" s="3">
        <v>31.5</v>
      </c>
      <c r="M635" s="3">
        <v>3.15</v>
      </c>
      <c r="N635" s="3">
        <v>1.81</v>
      </c>
      <c r="O635" s="3"/>
      <c r="P635" s="3">
        <f>2.65-2.65</f>
        <v>0</v>
      </c>
      <c r="Q635" s="6">
        <f t="shared" si="1439"/>
        <v>26.540000000000003</v>
      </c>
      <c r="R635" s="3"/>
      <c r="S635" s="3">
        <v>21.99</v>
      </c>
      <c r="T635" s="3">
        <v>0.91</v>
      </c>
      <c r="U635" s="3"/>
      <c r="V635" s="3"/>
      <c r="W635" s="3"/>
      <c r="X635" s="2">
        <f t="shared" si="1440"/>
        <v>22.9</v>
      </c>
      <c r="Y635" s="6">
        <f t="shared" si="1441"/>
        <v>3.6400000000000041</v>
      </c>
      <c r="Z635" s="6">
        <f>SUM(Y624:Y635)</f>
        <v>88.160000000000025</v>
      </c>
      <c r="AA635" s="2"/>
      <c r="AB635" s="2"/>
      <c r="AC635" s="3"/>
      <c r="AD635" s="2"/>
      <c r="AE635" s="2"/>
      <c r="AF635" s="2"/>
      <c r="AG635" s="2"/>
      <c r="AH635" s="2" t="s">
        <v>4535</v>
      </c>
      <c r="AI635" s="2" t="s">
        <v>4534</v>
      </c>
      <c r="AJ635" s="2"/>
      <c r="AK635" s="2"/>
      <c r="AL635" s="2" t="s">
        <v>4571</v>
      </c>
      <c r="AM635" s="16" t="s">
        <v>4847</v>
      </c>
      <c r="AN635" s="2"/>
      <c r="AO635" s="2" t="s">
        <v>4540</v>
      </c>
      <c r="AP635" s="2" t="s">
        <v>4541</v>
      </c>
      <c r="AQ635" s="2"/>
      <c r="AR635" s="16" t="s">
        <v>4926</v>
      </c>
      <c r="AS635" s="16" t="s">
        <v>4845</v>
      </c>
      <c r="AT635" s="16" t="s">
        <v>4846</v>
      </c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</row>
    <row r="636" spans="3:58" ht="17.25" customHeight="1">
      <c r="C636" s="1">
        <v>43970</v>
      </c>
      <c r="E636" s="2" t="s">
        <v>393</v>
      </c>
      <c r="F636" s="15"/>
      <c r="G636" s="2" t="s">
        <v>4497</v>
      </c>
      <c r="H636" s="2" t="s">
        <v>5010</v>
      </c>
      <c r="I636" s="2"/>
      <c r="J636" s="2">
        <v>1</v>
      </c>
      <c r="K636" s="2"/>
      <c r="L636" s="3">
        <v>61.35</v>
      </c>
      <c r="M636" s="3">
        <v>6.13</v>
      </c>
      <c r="N636" s="3">
        <v>3</v>
      </c>
      <c r="O636" s="3"/>
      <c r="P636" s="3">
        <v>0</v>
      </c>
      <c r="Q636" s="6">
        <f t="shared" ref="Q636:Q638" si="1442">+L636-M636-N636+P636</f>
        <v>52.22</v>
      </c>
      <c r="R636" s="3"/>
      <c r="S636" s="3">
        <v>38.89</v>
      </c>
      <c r="T636" s="3">
        <v>4.4800000000000004</v>
      </c>
      <c r="U636" s="3">
        <v>0</v>
      </c>
      <c r="V636" s="3"/>
      <c r="W636" s="3"/>
      <c r="X636" s="2">
        <f t="shared" ref="X636:X637" si="1443">+S636+T636++U636+V636-W636</f>
        <v>43.370000000000005</v>
      </c>
      <c r="Y636" s="6">
        <f t="shared" ref="Y636:Y637" si="1444">+Q636-X636</f>
        <v>8.8499999999999943</v>
      </c>
      <c r="Z636" s="2"/>
      <c r="AA636" s="2"/>
      <c r="AB636" s="2"/>
      <c r="AC636" s="3"/>
      <c r="AD636" s="2"/>
      <c r="AE636" s="2"/>
      <c r="AF636" s="2"/>
      <c r="AG636" s="2"/>
      <c r="AH636" s="2" t="s">
        <v>4499</v>
      </c>
      <c r="AI636" s="2" t="s">
        <v>4498</v>
      </c>
      <c r="AJ636" s="2"/>
      <c r="AK636" s="2"/>
      <c r="AL636" s="2" t="s">
        <v>5448</v>
      </c>
      <c r="AM636" s="16" t="s">
        <v>5461</v>
      </c>
      <c r="AN636" s="2"/>
      <c r="AO636" s="2" t="s">
        <v>4500</v>
      </c>
      <c r="AP636" s="2" t="s">
        <v>4501</v>
      </c>
      <c r="AQ636" s="2"/>
      <c r="AR636" s="16" t="s">
        <v>5011</v>
      </c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</row>
    <row r="637" spans="3:58" ht="17.25" customHeight="1">
      <c r="C637" s="1">
        <v>43970</v>
      </c>
      <c r="E637" s="2" t="s">
        <v>4496</v>
      </c>
      <c r="F637" s="15"/>
      <c r="G637" s="2" t="s">
        <v>4513</v>
      </c>
      <c r="H637" s="2" t="s">
        <v>4512</v>
      </c>
      <c r="I637" s="2"/>
      <c r="J637" s="2">
        <v>1</v>
      </c>
      <c r="K637" s="2"/>
      <c r="L637" s="3">
        <v>22.85</v>
      </c>
      <c r="M637" s="3">
        <v>2.2799999999999998</v>
      </c>
      <c r="N637" s="3">
        <v>1.37</v>
      </c>
      <c r="O637" s="3"/>
      <c r="P637" s="3">
        <f>1.38-1.38</f>
        <v>0</v>
      </c>
      <c r="Q637" s="6">
        <f t="shared" si="1442"/>
        <v>19.2</v>
      </c>
      <c r="R637" s="3"/>
      <c r="S637" s="3">
        <v>11.95</v>
      </c>
      <c r="T637" s="3">
        <v>0.72</v>
      </c>
      <c r="U637" s="3"/>
      <c r="V637" s="3"/>
      <c r="W637" s="3"/>
      <c r="X637" s="3">
        <f t="shared" si="1443"/>
        <v>12.67</v>
      </c>
      <c r="Y637" s="6">
        <f t="shared" si="1444"/>
        <v>6.5299999999999994</v>
      </c>
      <c r="Z637" s="2"/>
      <c r="AA637" s="2"/>
      <c r="AB637" s="2"/>
      <c r="AC637" s="3"/>
      <c r="AD637" s="2"/>
      <c r="AE637" s="2"/>
      <c r="AF637" s="2"/>
      <c r="AG637" s="2"/>
      <c r="AH637" s="2" t="s">
        <v>4537</v>
      </c>
      <c r="AI637" s="2" t="s">
        <v>4536</v>
      </c>
      <c r="AJ637" s="2"/>
      <c r="AK637" s="2"/>
      <c r="AL637" s="2" t="s">
        <v>4571</v>
      </c>
      <c r="AM637" s="16" t="s">
        <v>4572</v>
      </c>
      <c r="AN637" s="2"/>
      <c r="AO637" s="2" t="s">
        <v>4550</v>
      </c>
      <c r="AP637" s="2" t="s">
        <v>3233</v>
      </c>
      <c r="AQ637" s="2"/>
      <c r="AR637" s="16" t="s">
        <v>4518</v>
      </c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</row>
    <row r="638" spans="3:58" ht="17.25" customHeight="1">
      <c r="C638" s="1">
        <v>43970</v>
      </c>
      <c r="E638" s="2" t="s">
        <v>4495</v>
      </c>
      <c r="F638" s="15"/>
      <c r="G638" s="2" t="s">
        <v>5446</v>
      </c>
      <c r="H638" s="2" t="s">
        <v>5679</v>
      </c>
      <c r="I638" s="2"/>
      <c r="J638" s="2">
        <v>1</v>
      </c>
      <c r="K638" s="2"/>
      <c r="L638" s="3">
        <v>0</v>
      </c>
      <c r="M638" s="3">
        <v>0</v>
      </c>
      <c r="N638" s="3">
        <v>0</v>
      </c>
      <c r="O638" s="3"/>
      <c r="P638" s="3"/>
      <c r="Q638" s="6">
        <f t="shared" si="1442"/>
        <v>0</v>
      </c>
      <c r="R638" s="3"/>
      <c r="S638" s="3">
        <v>0</v>
      </c>
      <c r="T638" s="3">
        <v>0</v>
      </c>
      <c r="U638" s="3"/>
      <c r="V638" s="3"/>
      <c r="W638" s="3"/>
      <c r="X638" s="3">
        <f t="shared" ref="X638" si="1445">+S638+T638++U638+V638-W638</f>
        <v>0</v>
      </c>
      <c r="Y638" s="3">
        <f t="shared" ref="Y638" si="1446">+Q638-X638</f>
        <v>0</v>
      </c>
      <c r="Z638" s="2"/>
      <c r="AA638" s="2"/>
      <c r="AB638" s="2"/>
      <c r="AC638" s="3"/>
      <c r="AD638" s="2"/>
      <c r="AE638" s="2"/>
      <c r="AF638" s="2"/>
      <c r="AG638" s="2"/>
      <c r="AH638" s="2" t="s">
        <v>4539</v>
      </c>
      <c r="AI638" s="2" t="s">
        <v>4538</v>
      </c>
      <c r="AJ638" s="2"/>
      <c r="AK638" s="2"/>
      <c r="AL638" s="2"/>
      <c r="AM638" s="5" t="s">
        <v>5210</v>
      </c>
      <c r="AN638" s="2"/>
      <c r="AO638" s="2" t="s">
        <v>4655</v>
      </c>
      <c r="AP638" s="2" t="s">
        <v>4656</v>
      </c>
      <c r="AQ638" s="2"/>
      <c r="AR638" s="16" t="s">
        <v>4640</v>
      </c>
      <c r="AS638" s="2"/>
      <c r="AT638" s="2"/>
      <c r="AU638" s="2" t="s">
        <v>5441</v>
      </c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</row>
    <row r="639" spans="3:58" ht="17.25" customHeight="1">
      <c r="C639" s="1">
        <v>43970</v>
      </c>
      <c r="E639" s="2" t="s">
        <v>393</v>
      </c>
      <c r="F639" s="15"/>
      <c r="G639" s="2" t="s">
        <v>4494</v>
      </c>
      <c r="H639" s="2" t="s">
        <v>4493</v>
      </c>
      <c r="I639" s="2"/>
      <c r="J639" s="2">
        <v>1</v>
      </c>
      <c r="K639" s="2"/>
      <c r="L639" s="3">
        <v>61.35</v>
      </c>
      <c r="M639" s="3">
        <v>6.13</v>
      </c>
      <c r="N639" s="3">
        <v>3.08</v>
      </c>
      <c r="O639" s="3"/>
      <c r="P639" s="3">
        <f>1.78-1.78</f>
        <v>0</v>
      </c>
      <c r="Q639" s="6">
        <f t="shared" ref="Q639" si="1447">+L639-M639-N639+P639</f>
        <v>52.14</v>
      </c>
      <c r="R639" s="3"/>
      <c r="S639" s="3">
        <v>38.78</v>
      </c>
      <c r="T639" s="3">
        <v>2.66</v>
      </c>
      <c r="U639" s="3">
        <v>0</v>
      </c>
      <c r="V639" s="3"/>
      <c r="W639" s="3"/>
      <c r="X639" s="2">
        <f t="shared" ref="X639" si="1448">+S639+T639++U639+V639-W639</f>
        <v>41.44</v>
      </c>
      <c r="Y639" s="6">
        <f t="shared" ref="Y639" si="1449">+Q639-X639</f>
        <v>10.700000000000003</v>
      </c>
      <c r="Z639" s="2"/>
      <c r="AA639" s="2"/>
      <c r="AB639" s="2"/>
      <c r="AC639" s="3"/>
      <c r="AD639" s="2"/>
      <c r="AE639" s="2"/>
      <c r="AF639" s="2"/>
      <c r="AG639" s="2"/>
      <c r="AH639" s="2" t="s">
        <v>4492</v>
      </c>
      <c r="AI639" s="2" t="s">
        <v>4491</v>
      </c>
      <c r="AJ639" s="2"/>
      <c r="AK639" s="2"/>
      <c r="AL639" s="2" t="s">
        <v>4554</v>
      </c>
      <c r="AM639" s="16" t="s">
        <v>5037</v>
      </c>
      <c r="AN639" s="2"/>
      <c r="AO639" s="2" t="s">
        <v>4489</v>
      </c>
      <c r="AP639" s="2" t="s">
        <v>4656</v>
      </c>
      <c r="AQ639" s="2"/>
      <c r="AR639" s="16" t="s">
        <v>4490</v>
      </c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</row>
    <row r="640" spans="3:58" ht="17.25" customHeight="1">
      <c r="C640" s="1">
        <v>43970</v>
      </c>
      <c r="E640" s="2" t="s">
        <v>4477</v>
      </c>
      <c r="F640" s="15"/>
      <c r="G640" s="2" t="s">
        <v>4479</v>
      </c>
      <c r="H640" s="2" t="s">
        <v>4478</v>
      </c>
      <c r="I640" s="2"/>
      <c r="J640" s="2">
        <v>1</v>
      </c>
      <c r="K640" s="2"/>
      <c r="L640" s="3">
        <v>35.5</v>
      </c>
      <c r="M640" s="3">
        <v>3.55</v>
      </c>
      <c r="N640" s="3">
        <v>1.97</v>
      </c>
      <c r="O640" s="3"/>
      <c r="P640" s="3">
        <v>2.4900000000000002</v>
      </c>
      <c r="Q640" s="6">
        <f t="shared" ref="Q640:Q641" si="1450">+L640-M640-N640+P640</f>
        <v>32.47</v>
      </c>
      <c r="R640" s="3"/>
      <c r="S640" s="3">
        <v>24.99</v>
      </c>
      <c r="T640" s="3">
        <v>0</v>
      </c>
      <c r="U640" s="3"/>
      <c r="V640" s="3"/>
      <c r="W640" s="3"/>
      <c r="X640" s="2">
        <f t="shared" ref="X640" si="1451">+S640+T640++U640+V640-W640</f>
        <v>24.99</v>
      </c>
      <c r="Y640" s="6">
        <f t="shared" ref="Y640" si="1452">+Q640-X640</f>
        <v>7.48</v>
      </c>
      <c r="Z640" s="2"/>
      <c r="AA640" s="2"/>
      <c r="AB640" s="2"/>
      <c r="AC640" s="3"/>
      <c r="AD640" s="2"/>
      <c r="AE640" s="2"/>
      <c r="AF640" s="2"/>
      <c r="AG640" s="2"/>
      <c r="AH640" s="2" t="s">
        <v>4481</v>
      </c>
      <c r="AI640" s="2" t="s">
        <v>4480</v>
      </c>
      <c r="AJ640" s="2"/>
      <c r="AK640" s="2"/>
      <c r="AL640" s="2" t="s">
        <v>4571</v>
      </c>
      <c r="AM640" s="16" t="s">
        <v>4637</v>
      </c>
      <c r="AN640" s="2"/>
      <c r="AO640" s="2" t="s">
        <v>4593</v>
      </c>
      <c r="AP640" s="2" t="s">
        <v>4656</v>
      </c>
      <c r="AQ640" s="2"/>
      <c r="AR640" s="16" t="s">
        <v>4594</v>
      </c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</row>
    <row r="641" spans="2:58" ht="17.25" customHeight="1">
      <c r="C641" s="1">
        <v>43970</v>
      </c>
      <c r="E641" s="2" t="s">
        <v>1952</v>
      </c>
      <c r="F641" s="15"/>
      <c r="G641" s="2" t="s">
        <v>4474</v>
      </c>
      <c r="H641" s="2" t="s">
        <v>4473</v>
      </c>
      <c r="I641" s="2"/>
      <c r="J641" s="2">
        <v>1</v>
      </c>
      <c r="K641" s="2"/>
      <c r="L641" s="3">
        <v>18.95</v>
      </c>
      <c r="M641" s="3">
        <v>1.89</v>
      </c>
      <c r="N641" s="3">
        <v>1.18</v>
      </c>
      <c r="O641" s="3"/>
      <c r="P641" s="3">
        <f>1.14-1.14</f>
        <v>0</v>
      </c>
      <c r="Q641" s="6">
        <f t="shared" si="1450"/>
        <v>15.879999999999999</v>
      </c>
      <c r="R641" s="3"/>
      <c r="S641" s="3">
        <v>12.33</v>
      </c>
      <c r="T641" s="3">
        <v>0.74</v>
      </c>
      <c r="U641" s="3"/>
      <c r="V641" s="3"/>
      <c r="W641" s="3"/>
      <c r="X641" s="2">
        <f t="shared" ref="X641" si="1453">+S641+T641++U641+V641-W641</f>
        <v>13.07</v>
      </c>
      <c r="Y641" s="6">
        <f t="shared" ref="Y641" si="1454">+Q641-X641</f>
        <v>2.8099999999999987</v>
      </c>
      <c r="Z641" s="2"/>
      <c r="AA641" s="2"/>
      <c r="AB641" s="2"/>
      <c r="AC641" s="3"/>
      <c r="AD641" s="2"/>
      <c r="AE641" s="2"/>
      <c r="AF641" s="2"/>
      <c r="AG641" s="2"/>
      <c r="AH641" s="2" t="s">
        <v>4476</v>
      </c>
      <c r="AI641" s="2" t="s">
        <v>4475</v>
      </c>
      <c r="AJ641" s="2"/>
      <c r="AK641" s="2"/>
      <c r="AL641" s="2" t="s">
        <v>4554</v>
      </c>
      <c r="AM641" s="16" t="s">
        <v>4607</v>
      </c>
      <c r="AN641" s="2"/>
      <c r="AO641" s="2" t="s">
        <v>4487</v>
      </c>
      <c r="AP641" s="2" t="s">
        <v>4444</v>
      </c>
      <c r="AQ641" s="2"/>
      <c r="AR641" s="16" t="s">
        <v>4488</v>
      </c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</row>
    <row r="642" spans="2:58" ht="17.25" customHeight="1">
      <c r="C642" s="1">
        <v>43970</v>
      </c>
      <c r="E642" s="2" t="s">
        <v>4466</v>
      </c>
      <c r="F642" s="15"/>
      <c r="G642" s="2" t="s">
        <v>4468</v>
      </c>
      <c r="H642" s="2" t="s">
        <v>4467</v>
      </c>
      <c r="I642" s="2"/>
      <c r="J642" s="2">
        <v>1</v>
      </c>
      <c r="K642" s="2"/>
      <c r="L642" s="3">
        <v>31.25</v>
      </c>
      <c r="M642" s="3">
        <v>3.12</v>
      </c>
      <c r="N642" s="3">
        <v>1.76</v>
      </c>
      <c r="O642" s="3"/>
      <c r="P642" s="3">
        <f>1.88-1.88</f>
        <v>0</v>
      </c>
      <c r="Q642" s="6">
        <f t="shared" ref="Q642:Q646" si="1455">+L642-M642-N642+P642</f>
        <v>26.369999999999997</v>
      </c>
      <c r="R642" s="3"/>
      <c r="S642" s="3">
        <v>18.89</v>
      </c>
      <c r="T642" s="3">
        <v>1.1399999999999999</v>
      </c>
      <c r="U642" s="3">
        <v>0</v>
      </c>
      <c r="V642" s="3"/>
      <c r="W642" s="3"/>
      <c r="X642" s="2">
        <f t="shared" ref="X642:X643" si="1456">+S642+T642++U642+V642-W642</f>
        <v>20.03</v>
      </c>
      <c r="Y642" s="6">
        <f t="shared" ref="Y642:Y643" si="1457">+Q642-X642</f>
        <v>6.3399999999999963</v>
      </c>
      <c r="Z642" s="2"/>
      <c r="AA642" s="2"/>
      <c r="AB642" s="2"/>
      <c r="AC642" s="3"/>
      <c r="AD642" s="2"/>
      <c r="AE642" s="2"/>
      <c r="AF642" s="2"/>
      <c r="AG642" s="2"/>
      <c r="AH642" s="2" t="s">
        <v>4470</v>
      </c>
      <c r="AI642" s="2" t="s">
        <v>4469</v>
      </c>
      <c r="AJ642" s="2"/>
      <c r="AK642" s="2"/>
      <c r="AL642" s="2" t="s">
        <v>4612</v>
      </c>
      <c r="AM642" s="16" t="s">
        <v>4611</v>
      </c>
      <c r="AN642" s="2"/>
      <c r="AO642" s="2" t="s">
        <v>4484</v>
      </c>
      <c r="AP642" s="2" t="s">
        <v>4486</v>
      </c>
      <c r="AQ642" s="2"/>
      <c r="AR642" s="16" t="s">
        <v>4485</v>
      </c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</row>
    <row r="643" spans="2:58" ht="17.25" customHeight="1">
      <c r="C643" s="1">
        <v>43970</v>
      </c>
      <c r="E643" s="2" t="s">
        <v>3290</v>
      </c>
      <c r="F643" s="15"/>
      <c r="G643" s="2" t="s">
        <v>4471</v>
      </c>
      <c r="H643" s="2" t="s">
        <v>5029</v>
      </c>
      <c r="I643" s="2"/>
      <c r="J643" s="2">
        <v>1</v>
      </c>
      <c r="K643" s="2"/>
      <c r="L643" s="3">
        <v>0</v>
      </c>
      <c r="M643" s="3">
        <v>0</v>
      </c>
      <c r="N643" s="3">
        <v>0</v>
      </c>
      <c r="O643" s="3"/>
      <c r="P643" s="3">
        <f>2.8-2.8</f>
        <v>0</v>
      </c>
      <c r="Q643" s="6">
        <f t="shared" si="1455"/>
        <v>0</v>
      </c>
      <c r="R643" s="3"/>
      <c r="S643" s="3">
        <v>0</v>
      </c>
      <c r="T643" s="3">
        <v>0</v>
      </c>
      <c r="U643" s="3"/>
      <c r="V643" s="3"/>
      <c r="W643" s="3"/>
      <c r="X643" s="2">
        <f t="shared" si="1456"/>
        <v>0</v>
      </c>
      <c r="Y643" s="6">
        <f t="shared" si="1457"/>
        <v>0</v>
      </c>
      <c r="Z643" s="6">
        <f>SUM(Y636:Y643)</f>
        <v>42.71</v>
      </c>
      <c r="AA643" s="2"/>
      <c r="AB643" s="2"/>
      <c r="AC643" s="3"/>
      <c r="AD643" s="2"/>
      <c r="AE643" s="2"/>
      <c r="AF643" s="2"/>
      <c r="AG643" s="2"/>
      <c r="AH643" s="2" t="s">
        <v>4483</v>
      </c>
      <c r="AI643" s="2" t="s">
        <v>4482</v>
      </c>
      <c r="AJ643" s="2"/>
      <c r="AK643" s="2"/>
      <c r="AL643" s="2" t="s">
        <v>4571</v>
      </c>
      <c r="AM643" s="16" t="s">
        <v>4909</v>
      </c>
      <c r="AN643" s="2"/>
      <c r="AO643" s="2" t="s">
        <v>4620</v>
      </c>
      <c r="AP643" s="2" t="s">
        <v>3685</v>
      </c>
      <c r="AQ643" s="2"/>
      <c r="AR643" s="16" t="s">
        <v>4490</v>
      </c>
      <c r="AS643" s="2"/>
      <c r="AT643" s="2"/>
      <c r="AU643" s="2" t="s">
        <v>6015</v>
      </c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</row>
    <row r="644" spans="2:58" ht="17.25" customHeight="1">
      <c r="C644" s="1">
        <v>43968</v>
      </c>
      <c r="E644" s="2" t="s">
        <v>4422</v>
      </c>
      <c r="F644" s="15"/>
      <c r="G644" s="2" t="s">
        <v>4519</v>
      </c>
      <c r="H644" s="2" t="s">
        <v>3865</v>
      </c>
      <c r="I644" s="2"/>
      <c r="J644" s="2">
        <v>1</v>
      </c>
      <c r="K644" s="2" t="s">
        <v>16</v>
      </c>
      <c r="L644" s="3">
        <v>83.5</v>
      </c>
      <c r="M644" s="3">
        <v>8.35</v>
      </c>
      <c r="N644" s="3">
        <v>4.28</v>
      </c>
      <c r="O644" s="3">
        <v>0</v>
      </c>
      <c r="P644" s="3">
        <f>6.89-6.89</f>
        <v>0</v>
      </c>
      <c r="Q644" s="6">
        <f t="shared" si="1455"/>
        <v>70.87</v>
      </c>
      <c r="R644" s="3"/>
      <c r="S644" s="3">
        <v>65.19</v>
      </c>
      <c r="T644" s="3">
        <v>5.38</v>
      </c>
      <c r="U644" s="3"/>
      <c r="V644" s="3"/>
      <c r="W644" s="3">
        <f>6.51+0.54</f>
        <v>7.05</v>
      </c>
      <c r="X644" s="2">
        <f t="shared" ref="X644:X646" si="1458">+S644+T644++U644+V644-W644</f>
        <v>63.519999999999996</v>
      </c>
      <c r="Y644" s="6">
        <f t="shared" ref="Y644:Y647" si="1459">+Q644-X644</f>
        <v>7.3500000000000085</v>
      </c>
      <c r="Z644" s="2"/>
      <c r="AA644" s="2"/>
      <c r="AB644" s="2"/>
      <c r="AC644" s="3"/>
      <c r="AD644" s="2"/>
      <c r="AE644" s="2"/>
      <c r="AF644" s="2"/>
      <c r="AG644" s="2"/>
      <c r="AH644" s="2" t="s">
        <v>3877</v>
      </c>
      <c r="AI644" s="2" t="s">
        <v>3876</v>
      </c>
      <c r="AJ644" s="2"/>
      <c r="AK644" s="2"/>
      <c r="AL644" s="2" t="s">
        <v>4609</v>
      </c>
      <c r="AM644" s="16" t="s">
        <v>4613</v>
      </c>
      <c r="AN644" s="2">
        <v>1</v>
      </c>
      <c r="AO644" s="2" t="s">
        <v>4592</v>
      </c>
      <c r="AP644" s="2" t="s">
        <v>3696</v>
      </c>
      <c r="AQ644" s="2"/>
      <c r="AR644" s="16" t="s">
        <v>4589</v>
      </c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</row>
    <row r="645" spans="2:58" ht="17.25" customHeight="1">
      <c r="C645" s="1">
        <v>43968</v>
      </c>
      <c r="E645" s="2" t="s">
        <v>3288</v>
      </c>
      <c r="F645" s="15"/>
      <c r="G645" s="2" t="s">
        <v>4447</v>
      </c>
      <c r="H645" s="2" t="s">
        <v>4424</v>
      </c>
      <c r="I645" s="2"/>
      <c r="J645" s="2">
        <v>1</v>
      </c>
      <c r="K645" s="2"/>
      <c r="L645" s="3">
        <v>31.25</v>
      </c>
      <c r="M645" s="3">
        <v>3.12</v>
      </c>
      <c r="N645" s="3">
        <v>1.68</v>
      </c>
      <c r="O645" s="3"/>
      <c r="P645" s="3">
        <v>0</v>
      </c>
      <c r="Q645" s="6">
        <f t="shared" si="1455"/>
        <v>26.45</v>
      </c>
      <c r="R645" s="3"/>
      <c r="S645" s="3">
        <v>14.98</v>
      </c>
      <c r="T645" s="3">
        <v>1.33</v>
      </c>
      <c r="U645" s="3">
        <v>0</v>
      </c>
      <c r="V645" s="3"/>
      <c r="W645" s="3">
        <v>0</v>
      </c>
      <c r="X645" s="2">
        <f t="shared" si="1458"/>
        <v>16.310000000000002</v>
      </c>
      <c r="Y645" s="6">
        <f t="shared" si="1459"/>
        <v>10.139999999999997</v>
      </c>
      <c r="Z645" s="2"/>
      <c r="AA645" s="2"/>
      <c r="AB645" s="2"/>
      <c r="AC645" s="3"/>
      <c r="AD645" s="2"/>
      <c r="AE645" s="2"/>
      <c r="AF645" s="2"/>
      <c r="AG645" s="2"/>
      <c r="AH645" s="2" t="s">
        <v>4425</v>
      </c>
      <c r="AI645" s="2" t="s">
        <v>4426</v>
      </c>
      <c r="AJ645" s="2"/>
      <c r="AK645" s="2"/>
      <c r="AL645" s="2" t="s">
        <v>4554</v>
      </c>
      <c r="AM645" s="2" t="s">
        <v>4974</v>
      </c>
      <c r="AN645" s="2"/>
      <c r="AO645" s="2" t="s">
        <v>4448</v>
      </c>
      <c r="AP645" s="2" t="s">
        <v>4441</v>
      </c>
      <c r="AQ645" s="2"/>
      <c r="AR645" s="16" t="s">
        <v>4449</v>
      </c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</row>
    <row r="646" spans="2:58" ht="17.25" customHeight="1">
      <c r="C646" s="1">
        <v>43967</v>
      </c>
      <c r="E646" s="2" t="s">
        <v>3179</v>
      </c>
      <c r="F646" s="15"/>
      <c r="G646" s="2" t="s">
        <v>4428</v>
      </c>
      <c r="H646" s="2" t="s">
        <v>4427</v>
      </c>
      <c r="I646" s="2"/>
      <c r="J646" s="2">
        <v>1</v>
      </c>
      <c r="K646" s="2"/>
      <c r="L646" s="3">
        <v>18.95</v>
      </c>
      <c r="M646" s="3">
        <v>1.89</v>
      </c>
      <c r="N646" s="3">
        <v>1.18</v>
      </c>
      <c r="O646" s="3"/>
      <c r="P646" s="3">
        <f>1.06-1.06</f>
        <v>0</v>
      </c>
      <c r="Q646" s="6">
        <f t="shared" si="1455"/>
        <v>15.879999999999999</v>
      </c>
      <c r="R646" s="3"/>
      <c r="S646" s="3">
        <v>12.3</v>
      </c>
      <c r="T646" s="3">
        <v>0.69</v>
      </c>
      <c r="U646" s="3"/>
      <c r="V646" s="3"/>
      <c r="W646" s="3"/>
      <c r="X646" s="2">
        <f t="shared" si="1458"/>
        <v>12.99</v>
      </c>
      <c r="Y646" s="6">
        <f t="shared" si="1459"/>
        <v>2.8899999999999988</v>
      </c>
      <c r="Z646" s="2"/>
      <c r="AA646" s="2"/>
      <c r="AB646" s="2"/>
      <c r="AC646" s="3"/>
      <c r="AD646" s="2"/>
      <c r="AE646" s="2"/>
      <c r="AF646" s="2"/>
      <c r="AG646" s="2"/>
      <c r="AH646" s="2" t="s">
        <v>4430</v>
      </c>
      <c r="AI646" s="2" t="s">
        <v>4429</v>
      </c>
      <c r="AJ646" s="2"/>
      <c r="AK646" s="2"/>
      <c r="AL646" s="2" t="s">
        <v>2926</v>
      </c>
      <c r="AM646" s="16" t="s">
        <v>4463</v>
      </c>
      <c r="AN646" s="2"/>
      <c r="AO646" s="2" t="s">
        <v>4443</v>
      </c>
      <c r="AP646" s="2" t="s">
        <v>4444</v>
      </c>
      <c r="AQ646" s="2"/>
      <c r="AR646" s="16" t="s">
        <v>4361</v>
      </c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</row>
    <row r="647" spans="2:58" ht="17.25" customHeight="1">
      <c r="C647" s="1">
        <v>43967</v>
      </c>
      <c r="E647" s="2" t="s">
        <v>3119</v>
      </c>
      <c r="F647" s="15"/>
      <c r="G647" s="2" t="s">
        <v>4391</v>
      </c>
      <c r="H647" s="2" t="s">
        <v>4390</v>
      </c>
      <c r="I647" s="2"/>
      <c r="J647" s="2">
        <v>1</v>
      </c>
      <c r="K647" s="2"/>
      <c r="L647" s="3">
        <v>22.85</v>
      </c>
      <c r="M647" s="3">
        <v>2.2799999999999998</v>
      </c>
      <c r="N647" s="3">
        <v>1.4</v>
      </c>
      <c r="O647" s="3"/>
      <c r="P647" s="3">
        <v>2.2799999999999998</v>
      </c>
      <c r="Q647" s="6">
        <f t="shared" ref="Q647" si="1460">+L647-M647-N647+P647</f>
        <v>21.450000000000003</v>
      </c>
      <c r="R647" s="3"/>
      <c r="S647" s="3">
        <v>11.95</v>
      </c>
      <c r="T647" s="3">
        <v>0</v>
      </c>
      <c r="U647" s="3"/>
      <c r="V647" s="3"/>
      <c r="W647" s="3"/>
      <c r="X647" s="3">
        <f t="shared" ref="X647" si="1461">+S647+T647++U647+V647-W647</f>
        <v>11.95</v>
      </c>
      <c r="Y647" s="6">
        <f t="shared" si="1459"/>
        <v>9.5000000000000036</v>
      </c>
      <c r="Z647" s="2"/>
      <c r="AA647" s="2"/>
      <c r="AB647" s="2"/>
      <c r="AC647" s="3"/>
      <c r="AD647" s="2"/>
      <c r="AE647" s="2"/>
      <c r="AF647" s="2"/>
      <c r="AG647" s="2"/>
      <c r="AH647" s="2" t="s">
        <v>4393</v>
      </c>
      <c r="AI647" s="2" t="s">
        <v>4392</v>
      </c>
      <c r="AJ647" s="2"/>
      <c r="AK647" s="2"/>
      <c r="AL647" s="2" t="s">
        <v>4398</v>
      </c>
      <c r="AM647" s="16" t="s">
        <v>4397</v>
      </c>
      <c r="AN647" s="2"/>
      <c r="AO647" s="2" t="s">
        <v>4394</v>
      </c>
      <c r="AP647" s="2" t="s">
        <v>4396</v>
      </c>
      <c r="AQ647" s="2"/>
      <c r="AR647" s="16" t="s">
        <v>4395</v>
      </c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</row>
    <row r="648" spans="2:58" ht="17.25" customHeight="1">
      <c r="C648" s="1">
        <v>43966</v>
      </c>
      <c r="E648" s="2" t="s">
        <v>3562</v>
      </c>
      <c r="F648" s="15"/>
      <c r="G648" s="2" t="s">
        <v>4371</v>
      </c>
      <c r="H648" s="2" t="s">
        <v>4370</v>
      </c>
      <c r="I648" s="2"/>
      <c r="J648" s="2">
        <v>1</v>
      </c>
      <c r="K648" s="2"/>
      <c r="L648" s="3">
        <v>31.25</v>
      </c>
      <c r="M648" s="3">
        <v>3.12</v>
      </c>
      <c r="N648" s="3">
        <v>1.76</v>
      </c>
      <c r="O648" s="3"/>
      <c r="P648" s="3">
        <f>1.88-1.88</f>
        <v>0</v>
      </c>
      <c r="Q648" s="6">
        <f t="shared" ref="Q648:Q650" si="1462">+L648-M648-N648+P648</f>
        <v>26.369999999999997</v>
      </c>
      <c r="R648" s="3"/>
      <c r="S648" s="3">
        <v>18.98</v>
      </c>
      <c r="T648" s="3">
        <v>1.1399999999999999</v>
      </c>
      <c r="U648" s="3">
        <v>0</v>
      </c>
      <c r="V648" s="3"/>
      <c r="W648" s="3"/>
      <c r="X648" s="2">
        <f t="shared" ref="X648:X650" si="1463">+S648+T648++U648+V648-W648</f>
        <v>20.12</v>
      </c>
      <c r="Y648" s="6">
        <f t="shared" ref="Y648:Y650" si="1464">+Q648-X648</f>
        <v>6.2499999999999964</v>
      </c>
      <c r="Z648" s="2"/>
      <c r="AA648" s="2"/>
      <c r="AB648" s="2"/>
      <c r="AC648" s="3"/>
      <c r="AD648" s="2"/>
      <c r="AE648" s="2"/>
      <c r="AF648" s="2"/>
      <c r="AG648" s="2"/>
      <c r="AH648" s="2" t="s">
        <v>4374</v>
      </c>
      <c r="AI648" s="2" t="s">
        <v>4373</v>
      </c>
      <c r="AJ648" s="2"/>
      <c r="AK648" s="2"/>
      <c r="AL648" s="2" t="s">
        <v>3071</v>
      </c>
      <c r="AM648" s="16" t="s">
        <v>4404</v>
      </c>
      <c r="AN648" s="2"/>
      <c r="AO648" s="2" t="s">
        <v>4372</v>
      </c>
      <c r="AP648" s="2" t="s">
        <v>3519</v>
      </c>
      <c r="AQ648" s="2"/>
      <c r="AR648" s="16" t="s">
        <v>4313</v>
      </c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</row>
    <row r="649" spans="2:58" ht="17.25" customHeight="1">
      <c r="C649" s="1">
        <v>43966</v>
      </c>
      <c r="E649" s="2" t="s">
        <v>3194</v>
      </c>
      <c r="F649" s="15"/>
      <c r="G649" s="2" t="s">
        <v>4378</v>
      </c>
      <c r="H649" s="2" t="s">
        <v>4377</v>
      </c>
      <c r="I649" s="2"/>
      <c r="J649" s="2">
        <v>1</v>
      </c>
      <c r="K649" s="2"/>
      <c r="L649" s="3">
        <v>83.5</v>
      </c>
      <c r="M649" s="3">
        <v>8.35</v>
      </c>
      <c r="N649" s="3">
        <v>4.32</v>
      </c>
      <c r="O649" s="3">
        <v>0</v>
      </c>
      <c r="P649" s="3">
        <f>7.83-7.83</f>
        <v>0</v>
      </c>
      <c r="Q649" s="6">
        <f t="shared" si="1462"/>
        <v>70.830000000000013</v>
      </c>
      <c r="R649" s="3"/>
      <c r="S649" s="3">
        <v>65.19</v>
      </c>
      <c r="T649" s="3">
        <v>6.11</v>
      </c>
      <c r="U649" s="3"/>
      <c r="V649" s="3"/>
      <c r="W649" s="3">
        <f>6.51+0.61</f>
        <v>7.12</v>
      </c>
      <c r="X649" s="2">
        <f t="shared" si="1463"/>
        <v>64.179999999999993</v>
      </c>
      <c r="Y649" s="6">
        <f t="shared" si="1464"/>
        <v>6.6500000000000199</v>
      </c>
      <c r="Z649" s="2"/>
      <c r="AA649" s="2"/>
      <c r="AB649" s="2"/>
      <c r="AC649" s="3"/>
      <c r="AD649" s="2"/>
      <c r="AE649" s="2"/>
      <c r="AF649" s="2"/>
      <c r="AG649" s="2"/>
      <c r="AH649" s="2" t="s">
        <v>4376</v>
      </c>
      <c r="AI649" s="2" t="s">
        <v>4375</v>
      </c>
      <c r="AJ649" s="2"/>
      <c r="AK649" s="2"/>
      <c r="AL649" s="2" t="s">
        <v>3071</v>
      </c>
      <c r="AM649" s="16" t="s">
        <v>4636</v>
      </c>
      <c r="AN649" s="2">
        <v>1</v>
      </c>
      <c r="AO649" s="2" t="s">
        <v>4516</v>
      </c>
      <c r="AP649" s="2" t="s">
        <v>3696</v>
      </c>
      <c r="AQ649" s="2"/>
      <c r="AR649" s="16" t="s">
        <v>4518</v>
      </c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</row>
    <row r="650" spans="2:58" ht="17.25" customHeight="1">
      <c r="B650" s="43" t="s">
        <v>1370</v>
      </c>
      <c r="C650" s="1">
        <v>43966</v>
      </c>
      <c r="E650" s="2" t="s">
        <v>4053</v>
      </c>
      <c r="F650" s="15"/>
      <c r="G650" s="2" t="s">
        <v>4380</v>
      </c>
      <c r="H650" s="2" t="s">
        <v>4379</v>
      </c>
      <c r="I650" s="2"/>
      <c r="J650" s="2">
        <v>1</v>
      </c>
      <c r="K650" s="2"/>
      <c r="L650" s="3">
        <v>17.8</v>
      </c>
      <c r="M650" s="3">
        <v>1.78</v>
      </c>
      <c r="N650" s="3">
        <v>1.1399999999999999</v>
      </c>
      <c r="O650" s="3"/>
      <c r="P650" s="3">
        <v>0</v>
      </c>
      <c r="Q650" s="6">
        <f t="shared" si="1462"/>
        <v>14.879999999999999</v>
      </c>
      <c r="R650" s="3"/>
      <c r="S650" s="3">
        <v>4.6100000000000003</v>
      </c>
      <c r="T650" s="3">
        <v>0.91</v>
      </c>
      <c r="U650" s="3">
        <v>4.74</v>
      </c>
      <c r="V650" s="3"/>
      <c r="W650" s="3"/>
      <c r="X650" s="2">
        <f t="shared" si="1463"/>
        <v>10.260000000000002</v>
      </c>
      <c r="Y650" s="6">
        <f t="shared" si="1464"/>
        <v>4.6199999999999974</v>
      </c>
      <c r="Z650" s="2"/>
      <c r="AA650" s="2"/>
      <c r="AB650" s="2"/>
      <c r="AC650" s="3"/>
      <c r="AD650" s="2"/>
      <c r="AE650" s="2"/>
      <c r="AF650" s="2"/>
      <c r="AG650" s="2"/>
      <c r="AH650" s="16" t="s">
        <v>4382</v>
      </c>
      <c r="AI650" s="2" t="s">
        <v>4381</v>
      </c>
      <c r="AJ650" s="2"/>
      <c r="AK650" s="2"/>
      <c r="AL650" s="2" t="s">
        <v>4421</v>
      </c>
      <c r="AM650" s="16" t="s">
        <v>4435</v>
      </c>
      <c r="AN650" s="2"/>
      <c r="AO650" s="16" t="s">
        <v>4386</v>
      </c>
      <c r="AP650" s="2" t="s">
        <v>4098</v>
      </c>
      <c r="AQ650" s="2"/>
      <c r="AR650" s="16" t="s">
        <v>4387</v>
      </c>
      <c r="AS650" s="2" t="s">
        <v>4388</v>
      </c>
      <c r="AT650" s="2" t="s">
        <v>6012</v>
      </c>
      <c r="AU650" s="2" t="s">
        <v>6013</v>
      </c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</row>
    <row r="651" spans="2:58" ht="17.25" customHeight="1">
      <c r="C651" s="1">
        <v>43966</v>
      </c>
      <c r="E651" s="2" t="s">
        <v>4038</v>
      </c>
      <c r="F651" s="15"/>
      <c r="G651" s="2" t="s">
        <v>4442</v>
      </c>
      <c r="H651" s="2" t="s">
        <v>4346</v>
      </c>
      <c r="I651" s="2"/>
      <c r="J651" s="2">
        <v>1</v>
      </c>
      <c r="K651" s="2"/>
      <c r="L651" s="3">
        <v>29.35</v>
      </c>
      <c r="M651" s="3">
        <v>2.93</v>
      </c>
      <c r="N651" s="3">
        <v>1.7</v>
      </c>
      <c r="O651" s="3"/>
      <c r="P651" s="3">
        <f>2.42-2.42</f>
        <v>0</v>
      </c>
      <c r="Q651" s="6">
        <f t="shared" ref="Q651" si="1465">+L651-M651-N651+P651</f>
        <v>24.720000000000002</v>
      </c>
      <c r="R651" s="3"/>
      <c r="S651" s="3">
        <v>14.98</v>
      </c>
      <c r="T651" s="3">
        <v>1.23</v>
      </c>
      <c r="U651" s="3">
        <v>0</v>
      </c>
      <c r="V651" s="3"/>
      <c r="W651" s="3">
        <v>0</v>
      </c>
      <c r="X651" s="2">
        <f t="shared" ref="X651" si="1466">+S651+T651++U651+V651-W651</f>
        <v>16.21</v>
      </c>
      <c r="Y651" s="6">
        <f t="shared" ref="Y651" si="1467">+Q651-X651</f>
        <v>8.5100000000000016</v>
      </c>
      <c r="Z651" s="6">
        <f>SUM(Y648:Y651)</f>
        <v>26.030000000000015</v>
      </c>
      <c r="AA651" s="2"/>
      <c r="AB651" s="2"/>
      <c r="AC651" s="3"/>
      <c r="AD651" s="2"/>
      <c r="AE651" s="2"/>
      <c r="AF651" s="2"/>
      <c r="AG651" s="2"/>
      <c r="AH651" s="2" t="s">
        <v>4345</v>
      </c>
      <c r="AI651" s="2" t="s">
        <v>4344</v>
      </c>
      <c r="AJ651" s="2"/>
      <c r="AK651" s="2"/>
      <c r="AL651" s="2" t="s">
        <v>2926</v>
      </c>
      <c r="AM651" s="16" t="s">
        <v>4848</v>
      </c>
      <c r="AN651" s="2"/>
      <c r="AO651" s="2" t="s">
        <v>4439</v>
      </c>
      <c r="AP651" s="2" t="s">
        <v>4441</v>
      </c>
      <c r="AQ651" s="2"/>
      <c r="AR651" s="16" t="s">
        <v>4440</v>
      </c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</row>
    <row r="652" spans="2:58" ht="17.25" customHeight="1">
      <c r="E652" s="5" t="s">
        <v>4331</v>
      </c>
      <c r="F652" s="15"/>
      <c r="G652" s="2"/>
      <c r="H652" s="2"/>
      <c r="I652" s="2"/>
      <c r="J652" s="2"/>
      <c r="K652" s="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2"/>
      <c r="AA652" s="2"/>
      <c r="AB652" s="2"/>
      <c r="AC652" s="3"/>
      <c r="AD652" s="2"/>
      <c r="AE652" s="2"/>
      <c r="AF652" s="2"/>
      <c r="AG652" s="2"/>
      <c r="AH652" s="2"/>
      <c r="AI652" s="5" t="s">
        <v>4331</v>
      </c>
      <c r="AJ652" s="2"/>
      <c r="AK652" s="2"/>
      <c r="AL652" s="2" t="s">
        <v>4445</v>
      </c>
      <c r="AM652" s="5" t="s">
        <v>4331</v>
      </c>
      <c r="AN652" s="2"/>
      <c r="AO652" s="5" t="s">
        <v>4331</v>
      </c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</row>
    <row r="653" spans="2:58" ht="17.25" customHeight="1">
      <c r="C653" s="1">
        <v>43965</v>
      </c>
      <c r="E653" s="2" t="s">
        <v>4138</v>
      </c>
      <c r="F653" s="15"/>
      <c r="G653" s="2" t="s">
        <v>4320</v>
      </c>
      <c r="H653" s="2" t="s">
        <v>4319</v>
      </c>
      <c r="I653" s="2"/>
      <c r="J653" s="2">
        <v>1</v>
      </c>
      <c r="K653" s="2"/>
      <c r="L653" s="3">
        <v>31.5</v>
      </c>
      <c r="M653" s="3">
        <v>3.15</v>
      </c>
      <c r="N653" s="3">
        <v>1.77</v>
      </c>
      <c r="O653" s="3"/>
      <c r="P653" s="3">
        <f>1.97-1.97</f>
        <v>0</v>
      </c>
      <c r="Q653" s="6">
        <f t="shared" ref="Q653" si="1468">+L653-M653-N653+P653</f>
        <v>26.580000000000002</v>
      </c>
      <c r="R653" s="3"/>
      <c r="S653" s="3">
        <v>21.99</v>
      </c>
      <c r="T653" s="3">
        <v>2.0099999999999998</v>
      </c>
      <c r="U653" s="3"/>
      <c r="V653" s="3"/>
      <c r="W653" s="3"/>
      <c r="X653" s="2">
        <f t="shared" ref="X653" si="1469">+S653+T653++U653+V653-W653</f>
        <v>24</v>
      </c>
      <c r="Y653" s="6">
        <f t="shared" ref="Y653" si="1470">+Q653-X653</f>
        <v>2.5800000000000018</v>
      </c>
      <c r="Z653" s="2"/>
      <c r="AA653" s="2"/>
      <c r="AB653" s="2"/>
      <c r="AC653" s="3"/>
      <c r="AD653" s="2"/>
      <c r="AE653" s="2"/>
      <c r="AF653" s="2"/>
      <c r="AG653" s="2"/>
      <c r="AH653" s="2" t="s">
        <v>4348</v>
      </c>
      <c r="AI653" s="2" t="s">
        <v>4347</v>
      </c>
      <c r="AJ653" s="2"/>
      <c r="AK653" s="2"/>
      <c r="AL653" s="2" t="s">
        <v>4911</v>
      </c>
      <c r="AM653" s="2" t="s">
        <v>4973</v>
      </c>
      <c r="AN653" s="2"/>
      <c r="AO653" s="2" t="s">
        <v>4363</v>
      </c>
      <c r="AP653" s="2" t="s">
        <v>3685</v>
      </c>
      <c r="AQ653" s="2"/>
      <c r="AR653" s="16" t="s">
        <v>4364</v>
      </c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</row>
    <row r="654" spans="2:58" ht="17.25" customHeight="1">
      <c r="C654" s="1">
        <v>43965</v>
      </c>
      <c r="E654" s="2" t="s">
        <v>3616</v>
      </c>
      <c r="F654" s="15"/>
      <c r="G654" s="2" t="s">
        <v>4318</v>
      </c>
      <c r="H654" s="2" t="s">
        <v>4317</v>
      </c>
      <c r="I654" s="2"/>
      <c r="J654" s="2">
        <v>1</v>
      </c>
      <c r="K654" s="2"/>
      <c r="L654" s="3">
        <v>26.9</v>
      </c>
      <c r="M654" s="3">
        <v>2.69</v>
      </c>
      <c r="N654" s="3">
        <v>1.58</v>
      </c>
      <c r="O654" s="3">
        <v>0</v>
      </c>
      <c r="P654" s="3">
        <f>2.22-2.22</f>
        <v>0</v>
      </c>
      <c r="Q654" s="6">
        <f t="shared" ref="Q654:Q655" si="1471">+L654-M654-N654+P654</f>
        <v>22.629999999999995</v>
      </c>
      <c r="R654" s="3"/>
      <c r="S654" s="3">
        <v>17.18</v>
      </c>
      <c r="T654" s="3">
        <v>1.42</v>
      </c>
      <c r="U654" s="3"/>
      <c r="V654" s="3"/>
      <c r="W654" s="3"/>
      <c r="X654" s="2">
        <f t="shared" ref="X654:X655" si="1472">+S654+T654++U654+V654-W654</f>
        <v>18.600000000000001</v>
      </c>
      <c r="Y654" s="6">
        <f t="shared" ref="Y654:Y655" si="1473">+Q654-X654</f>
        <v>4.029999999999994</v>
      </c>
      <c r="Z654" s="2"/>
      <c r="AA654" s="2"/>
      <c r="AB654" s="2"/>
      <c r="AC654" s="3"/>
      <c r="AD654" s="2"/>
      <c r="AE654" s="2"/>
      <c r="AF654" s="2"/>
      <c r="AG654" s="2"/>
      <c r="AH654" s="2" t="s">
        <v>4341</v>
      </c>
      <c r="AI654" s="2" t="s">
        <v>4340</v>
      </c>
      <c r="AJ654" s="2"/>
      <c r="AK654" s="2"/>
      <c r="AL654" s="2" t="s">
        <v>4453</v>
      </c>
      <c r="AM654" s="16" t="s">
        <v>4452</v>
      </c>
      <c r="AN654" s="2"/>
      <c r="AO654" s="16" t="s">
        <v>4399</v>
      </c>
      <c r="AP654" s="2" t="s">
        <v>4401</v>
      </c>
      <c r="AQ654" s="2"/>
      <c r="AR654" s="16" t="s">
        <v>4400</v>
      </c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</row>
    <row r="655" spans="2:58" ht="17.25" customHeight="1">
      <c r="C655" s="1">
        <v>43965</v>
      </c>
      <c r="E655" s="2" t="s">
        <v>3562</v>
      </c>
      <c r="F655" s="15"/>
      <c r="G655" s="2" t="s">
        <v>4316</v>
      </c>
      <c r="H655" s="2" t="s">
        <v>4315</v>
      </c>
      <c r="I655" s="2"/>
      <c r="J655" s="2">
        <v>1</v>
      </c>
      <c r="K655" s="2"/>
      <c r="L655" s="3">
        <v>31.25</v>
      </c>
      <c r="M655" s="3">
        <v>3.12</v>
      </c>
      <c r="N655" s="3">
        <v>1.77</v>
      </c>
      <c r="O655" s="3"/>
      <c r="P655" s="3">
        <v>2.19</v>
      </c>
      <c r="Q655" s="6">
        <f t="shared" si="1471"/>
        <v>28.55</v>
      </c>
      <c r="R655" s="3"/>
      <c r="S655" s="3">
        <v>19.98</v>
      </c>
      <c r="T655" s="3">
        <v>1.4</v>
      </c>
      <c r="U655" s="3">
        <v>0</v>
      </c>
      <c r="V655" s="3"/>
      <c r="W655" s="3"/>
      <c r="X655" s="2">
        <f t="shared" si="1472"/>
        <v>21.38</v>
      </c>
      <c r="Y655" s="6">
        <f t="shared" si="1473"/>
        <v>7.1700000000000017</v>
      </c>
      <c r="Z655" s="2"/>
      <c r="AA655" s="2"/>
      <c r="AB655" s="2"/>
      <c r="AC655" s="3"/>
      <c r="AD655" s="2"/>
      <c r="AE655" s="2"/>
      <c r="AF655" s="2"/>
      <c r="AG655" s="2"/>
      <c r="AH655" s="2" t="s">
        <v>4343</v>
      </c>
      <c r="AI655" s="2" t="s">
        <v>4342</v>
      </c>
      <c r="AJ655" s="2"/>
      <c r="AK655" s="2"/>
      <c r="AL655" s="2" t="s">
        <v>3071</v>
      </c>
      <c r="AM655" s="16" t="s">
        <v>4409</v>
      </c>
      <c r="AN655" s="2"/>
      <c r="AO655" s="2" t="s">
        <v>4360</v>
      </c>
      <c r="AP655" s="2" t="s">
        <v>3519</v>
      </c>
      <c r="AQ655" s="2"/>
      <c r="AR655" s="16" t="s">
        <v>4361</v>
      </c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</row>
    <row r="656" spans="2:58" ht="17.25" customHeight="1">
      <c r="B656" s="43" t="s">
        <v>1370</v>
      </c>
      <c r="C656" s="1">
        <v>43965</v>
      </c>
      <c r="E656" s="2" t="s">
        <v>4053</v>
      </c>
      <c r="F656" s="15"/>
      <c r="G656" s="2" t="s">
        <v>4246</v>
      </c>
      <c r="H656" s="2" t="s">
        <v>4245</v>
      </c>
      <c r="I656" s="2"/>
      <c r="J656" s="2">
        <v>1</v>
      </c>
      <c r="K656" s="2"/>
      <c r="L656" s="3">
        <v>17.8</v>
      </c>
      <c r="M656" s="3">
        <v>1.78</v>
      </c>
      <c r="N656" s="3">
        <v>1.1399999999999999</v>
      </c>
      <c r="O656" s="3"/>
      <c r="P656" s="3">
        <v>0</v>
      </c>
      <c r="Q656" s="6">
        <f t="shared" ref="Q656:Q657" si="1474">+L656-M656-N656+P656</f>
        <v>14.879999999999999</v>
      </c>
      <c r="R656" s="3"/>
      <c r="S656" s="3">
        <v>4.6100000000000003</v>
      </c>
      <c r="T656" s="3">
        <v>0.91</v>
      </c>
      <c r="U656" s="3">
        <v>4.74</v>
      </c>
      <c r="V656" s="3"/>
      <c r="W656" s="3"/>
      <c r="X656" s="2">
        <f t="shared" ref="X656:X657" si="1475">+S656+T656++U656+V656-W656</f>
        <v>10.260000000000002</v>
      </c>
      <c r="Y656" s="6">
        <f t="shared" ref="Y656:Y657" si="1476">+Q656-X656</f>
        <v>4.6199999999999974</v>
      </c>
      <c r="Z656" s="2"/>
      <c r="AA656" s="2"/>
      <c r="AB656" s="2"/>
      <c r="AC656" s="3"/>
      <c r="AD656" s="2"/>
      <c r="AE656" s="2"/>
      <c r="AF656" s="2"/>
      <c r="AG656" s="2"/>
      <c r="AH656" s="2" t="s">
        <v>4248</v>
      </c>
      <c r="AI656" s="2" t="s">
        <v>4247</v>
      </c>
      <c r="AJ656" s="2"/>
      <c r="AK656" s="2"/>
      <c r="AL656" s="2" t="s">
        <v>4421</v>
      </c>
      <c r="AM656" s="16" t="s">
        <v>4434</v>
      </c>
      <c r="AN656" s="2"/>
      <c r="AO656" s="16" t="s">
        <v>4389</v>
      </c>
      <c r="AP656" s="2" t="s">
        <v>4098</v>
      </c>
      <c r="AQ656" s="2"/>
      <c r="AR656" s="16" t="s">
        <v>4387</v>
      </c>
      <c r="AS656" s="2" t="s">
        <v>4388</v>
      </c>
      <c r="AT656" s="2" t="s">
        <v>6012</v>
      </c>
      <c r="AU656" s="2" t="s">
        <v>6013</v>
      </c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</row>
    <row r="657" spans="2:58" ht="17.25" customHeight="1">
      <c r="C657" s="1">
        <v>43965</v>
      </c>
      <c r="E657" s="2" t="s">
        <v>3562</v>
      </c>
      <c r="F657" s="15"/>
      <c r="G657" s="2" t="s">
        <v>4244</v>
      </c>
      <c r="H657" s="2" t="s">
        <v>4438</v>
      </c>
      <c r="I657" s="2"/>
      <c r="J657" s="2">
        <v>0</v>
      </c>
      <c r="K657" s="2"/>
      <c r="L657" s="3">
        <v>0</v>
      </c>
      <c r="M657" s="3">
        <v>0</v>
      </c>
      <c r="N657" s="3">
        <v>0</v>
      </c>
      <c r="O657" s="3"/>
      <c r="P657" s="3">
        <v>0</v>
      </c>
      <c r="Q657" s="6">
        <f t="shared" si="1474"/>
        <v>0</v>
      </c>
      <c r="R657" s="3">
        <v>0</v>
      </c>
      <c r="S657" s="3">
        <v>0</v>
      </c>
      <c r="T657" s="3">
        <v>0</v>
      </c>
      <c r="U657" s="3">
        <v>0</v>
      </c>
      <c r="V657" s="3"/>
      <c r="W657" s="3"/>
      <c r="X657" s="2">
        <f t="shared" si="1475"/>
        <v>0</v>
      </c>
      <c r="Y657" s="6">
        <f t="shared" si="1476"/>
        <v>0</v>
      </c>
      <c r="Z657" s="2"/>
      <c r="AA657" s="2"/>
      <c r="AB657" s="2"/>
      <c r="AC657" s="3"/>
      <c r="AD657" s="2"/>
      <c r="AE657" s="2"/>
      <c r="AF657" s="2"/>
      <c r="AG657" s="2"/>
      <c r="AH657" s="2" t="s">
        <v>4250</v>
      </c>
      <c r="AI657" s="2" t="s">
        <v>4249</v>
      </c>
      <c r="AJ657" s="2"/>
      <c r="AK657" s="2"/>
      <c r="AL657" s="2"/>
      <c r="AM657" s="5" t="s">
        <v>3904</v>
      </c>
      <c r="AN657" s="2"/>
      <c r="AO657" s="5" t="s">
        <v>3904</v>
      </c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</row>
    <row r="658" spans="2:58" ht="17.25" customHeight="1">
      <c r="C658" s="1">
        <v>43965</v>
      </c>
      <c r="E658" s="2" t="s">
        <v>3562</v>
      </c>
      <c r="F658" s="15"/>
      <c r="G658" s="2" t="s">
        <v>4166</v>
      </c>
      <c r="H658" s="2" t="s">
        <v>4165</v>
      </c>
      <c r="I658" s="2"/>
      <c r="J658" s="2">
        <v>1</v>
      </c>
      <c r="K658" s="2"/>
      <c r="L658" s="3">
        <v>31.25</v>
      </c>
      <c r="M658" s="3">
        <v>3.12</v>
      </c>
      <c r="N658" s="3">
        <v>1.76</v>
      </c>
      <c r="O658" s="3"/>
      <c r="P658" s="3">
        <f>2.27-2.27</f>
        <v>0</v>
      </c>
      <c r="Q658" s="6">
        <f t="shared" ref="Q658" si="1477">+L658-M658-N658+P658</f>
        <v>26.369999999999997</v>
      </c>
      <c r="R658" s="3"/>
      <c r="S658" s="3">
        <v>19.63</v>
      </c>
      <c r="T658" s="3">
        <v>1.18</v>
      </c>
      <c r="U658" s="3">
        <v>0</v>
      </c>
      <c r="V658" s="3"/>
      <c r="W658" s="3"/>
      <c r="X658" s="2">
        <f t="shared" ref="X658" si="1478">+S658+T658++U658+V658-W658</f>
        <v>20.81</v>
      </c>
      <c r="Y658" s="6">
        <f t="shared" ref="Y658" si="1479">+Q658-X658</f>
        <v>5.5599999999999987</v>
      </c>
      <c r="Z658" s="2"/>
      <c r="AA658" s="2"/>
      <c r="AB658" s="2"/>
      <c r="AC658" s="3"/>
      <c r="AD658" s="2"/>
      <c r="AE658" s="2"/>
      <c r="AF658" s="2"/>
      <c r="AG658" s="2"/>
      <c r="AH658" s="2" t="s">
        <v>4173</v>
      </c>
      <c r="AI658" s="2" t="s">
        <v>4172</v>
      </c>
      <c r="AJ658" s="2"/>
      <c r="AK658" s="2"/>
      <c r="AL658" s="2" t="s">
        <v>3071</v>
      </c>
      <c r="AM658" s="16" t="s">
        <v>4252</v>
      </c>
      <c r="AN658" s="2"/>
      <c r="AO658" s="2" t="s">
        <v>4236</v>
      </c>
      <c r="AP658" s="2" t="s">
        <v>3519</v>
      </c>
      <c r="AQ658" s="2"/>
      <c r="AR658" s="16" t="s">
        <v>4237</v>
      </c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</row>
    <row r="659" spans="2:58" ht="17.25" customHeight="1">
      <c r="C659" s="1">
        <v>43965</v>
      </c>
      <c r="E659" s="2" t="s">
        <v>4176</v>
      </c>
      <c r="F659" s="15"/>
      <c r="G659" s="2" t="s">
        <v>4223</v>
      </c>
      <c r="H659" s="2" t="s">
        <v>4222</v>
      </c>
      <c r="I659" s="2"/>
      <c r="J659" s="2">
        <v>1</v>
      </c>
      <c r="K659" s="2"/>
      <c r="L659" s="3">
        <v>83.5</v>
      </c>
      <c r="M659" s="3">
        <v>8.35</v>
      </c>
      <c r="N659" s="3">
        <v>4.2</v>
      </c>
      <c r="O659" s="3">
        <v>0</v>
      </c>
      <c r="P659" s="3">
        <f>6.89-6.89</f>
        <v>0</v>
      </c>
      <c r="Q659" s="6">
        <f t="shared" ref="Q659" si="1480">+L659-M659-N659+P659</f>
        <v>70.95</v>
      </c>
      <c r="R659" s="3"/>
      <c r="S659" s="3">
        <v>65.19</v>
      </c>
      <c r="T659" s="3">
        <v>4.07</v>
      </c>
      <c r="U659" s="3"/>
      <c r="V659" s="3"/>
      <c r="W659" s="3">
        <v>6.51</v>
      </c>
      <c r="X659" s="2">
        <f t="shared" ref="X659" si="1481">+S659+T659++U659+V659-W659</f>
        <v>62.749999999999993</v>
      </c>
      <c r="Y659" s="6">
        <f t="shared" ref="Y659" si="1482">+Q659-X659</f>
        <v>8.2000000000000099</v>
      </c>
      <c r="Z659" s="6">
        <f>SUM(Y653:Y659)</f>
        <v>32.160000000000004</v>
      </c>
      <c r="AA659" s="2"/>
      <c r="AB659" s="2"/>
      <c r="AC659" s="3"/>
      <c r="AD659" s="2"/>
      <c r="AE659" s="2"/>
      <c r="AF659" s="2"/>
      <c r="AG659" s="2"/>
      <c r="AH659" s="2" t="s">
        <v>4225</v>
      </c>
      <c r="AI659" s="2" t="s">
        <v>4224</v>
      </c>
      <c r="AJ659" s="2"/>
      <c r="AK659" s="2"/>
      <c r="AL659" s="2" t="s">
        <v>3071</v>
      </c>
      <c r="AM659" s="16" t="s">
        <v>4626</v>
      </c>
      <c r="AN659" s="2">
        <v>1</v>
      </c>
      <c r="AO659" s="2" t="s">
        <v>4590</v>
      </c>
      <c r="AP659" s="2" t="s">
        <v>3696</v>
      </c>
      <c r="AQ659" s="2"/>
      <c r="AR659" s="16" t="s">
        <v>4589</v>
      </c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</row>
    <row r="660" spans="2:58" ht="17.25" customHeight="1">
      <c r="C660" s="1">
        <v>43964</v>
      </c>
      <c r="E660" s="2" t="s">
        <v>4208</v>
      </c>
      <c r="F660" s="15"/>
      <c r="G660" s="2" t="s">
        <v>4210</v>
      </c>
      <c r="H660" s="2" t="s">
        <v>4209</v>
      </c>
      <c r="I660" s="2"/>
      <c r="J660" s="2">
        <v>1</v>
      </c>
      <c r="K660" s="2" t="s">
        <v>4213</v>
      </c>
      <c r="L660" s="3">
        <v>83.5</v>
      </c>
      <c r="M660" s="3">
        <v>8.35</v>
      </c>
      <c r="N660" s="3">
        <v>4.28</v>
      </c>
      <c r="O660" s="3">
        <v>0</v>
      </c>
      <c r="P660" s="3">
        <f>6.89-6.89</f>
        <v>0</v>
      </c>
      <c r="Q660" s="6">
        <f t="shared" ref="Q660" si="1483">+L660-M660-N660+P660</f>
        <v>70.87</v>
      </c>
      <c r="R660" s="3"/>
      <c r="S660" s="3">
        <v>65.19</v>
      </c>
      <c r="T660" s="3">
        <v>5.38</v>
      </c>
      <c r="U660" s="3"/>
      <c r="V660" s="3"/>
      <c r="W660" s="3">
        <f>6.51+0.54</f>
        <v>7.05</v>
      </c>
      <c r="X660" s="2">
        <f t="shared" ref="X660" si="1484">+S660+T660++U660+V660-W660</f>
        <v>63.519999999999996</v>
      </c>
      <c r="Y660" s="6">
        <f t="shared" ref="Y660:Y661" si="1485">+Q660-X660</f>
        <v>7.3500000000000085</v>
      </c>
      <c r="Z660" s="2"/>
      <c r="AA660" s="2"/>
      <c r="AB660" s="2"/>
      <c r="AC660" s="3"/>
      <c r="AD660" s="2"/>
      <c r="AE660" s="2"/>
      <c r="AF660" s="2"/>
      <c r="AG660" s="2"/>
      <c r="AH660" s="2" t="s">
        <v>4212</v>
      </c>
      <c r="AI660" s="2" t="s">
        <v>4211</v>
      </c>
      <c r="AJ660" s="2"/>
      <c r="AK660" s="2"/>
      <c r="AL660" s="2" t="s">
        <v>3071</v>
      </c>
      <c r="AM660" s="16" t="s">
        <v>4610</v>
      </c>
      <c r="AN660" s="2">
        <v>1</v>
      </c>
      <c r="AO660" s="2" t="s">
        <v>4591</v>
      </c>
      <c r="AP660" s="2" t="s">
        <v>3696</v>
      </c>
      <c r="AQ660" s="2"/>
      <c r="AR660" s="16" t="s">
        <v>4589</v>
      </c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</row>
    <row r="661" spans="2:58" ht="17.25" customHeight="1">
      <c r="C661" s="1">
        <v>43964</v>
      </c>
      <c r="E661" s="2" t="s">
        <v>3119</v>
      </c>
      <c r="F661" s="15"/>
      <c r="G661" s="2" t="s">
        <v>4456</v>
      </c>
      <c r="H661" s="2" t="s">
        <v>4243</v>
      </c>
      <c r="I661" s="2"/>
      <c r="J661" s="2">
        <v>1</v>
      </c>
      <c r="K661" s="2" t="s">
        <v>3449</v>
      </c>
      <c r="L661" s="3">
        <v>22.85</v>
      </c>
      <c r="M661" s="3">
        <v>2.2799999999999998</v>
      </c>
      <c r="N661" s="3">
        <v>1.31</v>
      </c>
      <c r="O661" s="3"/>
      <c r="P661" s="3">
        <f>2.17-2.17</f>
        <v>0</v>
      </c>
      <c r="Q661" s="6">
        <f t="shared" ref="Q661" si="1486">+L661-M661-N661+P661</f>
        <v>19.260000000000002</v>
      </c>
      <c r="R661" s="3"/>
      <c r="S661" s="3">
        <v>11.95</v>
      </c>
      <c r="T661" s="3">
        <v>1.37</v>
      </c>
      <c r="U661" s="3"/>
      <c r="V661" s="3"/>
      <c r="W661" s="3"/>
      <c r="X661" s="3">
        <f t="shared" ref="X661" si="1487">+S661+T661++U661+V661-W661</f>
        <v>13.32</v>
      </c>
      <c r="Y661" s="6">
        <f t="shared" si="1485"/>
        <v>5.9400000000000013</v>
      </c>
      <c r="Z661" s="2"/>
      <c r="AA661" s="2"/>
      <c r="AB661" s="2"/>
      <c r="AC661" s="3"/>
      <c r="AD661" s="2"/>
      <c r="AE661" s="2"/>
      <c r="AF661" s="2"/>
      <c r="AG661" s="2"/>
      <c r="AH661" s="2" t="s">
        <v>4207</v>
      </c>
      <c r="AI661" s="2" t="s">
        <v>4206</v>
      </c>
      <c r="AJ661" s="2"/>
      <c r="AK661" s="2"/>
      <c r="AL661" s="2" t="s">
        <v>4571</v>
      </c>
      <c r="AM661" s="16" t="s">
        <v>5038</v>
      </c>
      <c r="AN661" s="2"/>
      <c r="AO661" s="2" t="s">
        <v>4241</v>
      </c>
      <c r="AP661" s="2" t="s">
        <v>3038</v>
      </c>
      <c r="AQ661" s="2"/>
      <c r="AR661" s="16" t="s">
        <v>4242</v>
      </c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</row>
    <row r="662" spans="2:58" ht="17.25" customHeight="1">
      <c r="C662" s="1">
        <v>43964</v>
      </c>
      <c r="E662" s="2" t="s">
        <v>4199</v>
      </c>
      <c r="F662" s="15"/>
      <c r="G662" s="2" t="s">
        <v>4201</v>
      </c>
      <c r="H662" s="2" t="s">
        <v>4200</v>
      </c>
      <c r="I662" s="2"/>
      <c r="J662" s="2">
        <v>1</v>
      </c>
      <c r="K662" s="2" t="s">
        <v>3449</v>
      </c>
      <c r="L662" s="3">
        <v>83.5</v>
      </c>
      <c r="M662" s="3">
        <v>8.35</v>
      </c>
      <c r="N662" s="3">
        <v>3.97</v>
      </c>
      <c r="O662" s="3">
        <v>0</v>
      </c>
      <c r="P662" s="3">
        <f>7.43-7.43</f>
        <v>0</v>
      </c>
      <c r="Q662" s="6">
        <f t="shared" ref="Q662" si="1488">+L662-M662-N662+P662</f>
        <v>71.180000000000007</v>
      </c>
      <c r="R662" s="3"/>
      <c r="S662" s="3">
        <v>65.19</v>
      </c>
      <c r="T662" s="3">
        <v>0</v>
      </c>
      <c r="U662" s="3"/>
      <c r="V662" s="3"/>
      <c r="W662" s="33">
        <f>6.51+0</f>
        <v>6.51</v>
      </c>
      <c r="X662" s="2">
        <f t="shared" ref="X662" si="1489">+S662+T662++U662+V662-W662</f>
        <v>58.68</v>
      </c>
      <c r="Y662" s="6">
        <f t="shared" ref="Y662" si="1490">+Q662-X662</f>
        <v>12.500000000000007</v>
      </c>
      <c r="Z662" s="2"/>
      <c r="AA662" s="2"/>
      <c r="AB662" s="2"/>
      <c r="AC662" s="3"/>
      <c r="AD662" s="2"/>
      <c r="AE662" s="2"/>
      <c r="AF662" s="2"/>
      <c r="AG662" s="2"/>
      <c r="AH662" s="2" t="s">
        <v>4205</v>
      </c>
      <c r="AI662" s="2" t="s">
        <v>4204</v>
      </c>
      <c r="AJ662" s="2"/>
      <c r="AK662" s="2"/>
      <c r="AL662" s="2" t="s">
        <v>4609</v>
      </c>
      <c r="AM662" s="16" t="s">
        <v>4670</v>
      </c>
      <c r="AN662" s="2">
        <v>1</v>
      </c>
      <c r="AO662" s="2" t="s">
        <v>4671</v>
      </c>
      <c r="AP662" s="2" t="s">
        <v>3696</v>
      </c>
      <c r="AQ662" s="2"/>
      <c r="AR662" s="16" t="s">
        <v>4650</v>
      </c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</row>
    <row r="663" spans="2:58" ht="17.25" customHeight="1">
      <c r="C663" s="1">
        <v>43964</v>
      </c>
      <c r="E663" s="2" t="s">
        <v>4038</v>
      </c>
      <c r="F663" s="15"/>
      <c r="G663" s="2" t="s">
        <v>4178</v>
      </c>
      <c r="H663" s="2" t="s">
        <v>4177</v>
      </c>
      <c r="I663" s="2"/>
      <c r="J663" s="2">
        <v>1</v>
      </c>
      <c r="K663" s="2" t="s">
        <v>3449</v>
      </c>
      <c r="L663" s="3">
        <v>29.35</v>
      </c>
      <c r="M663" s="3">
        <v>2.93</v>
      </c>
      <c r="N663" s="3">
        <v>1.68</v>
      </c>
      <c r="O663" s="3"/>
      <c r="P663" s="3">
        <f>2.13-2.13</f>
        <v>0</v>
      </c>
      <c r="Q663" s="6">
        <f t="shared" ref="Q663:Q665" si="1491">+L663-M663-N663+P663</f>
        <v>24.740000000000002</v>
      </c>
      <c r="R663" s="3"/>
      <c r="S663" s="3">
        <v>14.98</v>
      </c>
      <c r="T663" s="3">
        <v>1.05</v>
      </c>
      <c r="U663" s="3">
        <v>0</v>
      </c>
      <c r="V663" s="3"/>
      <c r="W663" s="3">
        <v>0</v>
      </c>
      <c r="X663" s="2">
        <f t="shared" ref="X663:X665" si="1492">+S663+T663++U663+V663-W663</f>
        <v>16.03</v>
      </c>
      <c r="Y663" s="6">
        <f t="shared" ref="Y663:Y665" si="1493">+Q663-X663</f>
        <v>8.7100000000000009</v>
      </c>
      <c r="Z663" s="2"/>
      <c r="AA663" s="2"/>
      <c r="AB663" s="2"/>
      <c r="AC663" s="3"/>
      <c r="AD663" s="2"/>
      <c r="AE663" s="2"/>
      <c r="AF663" s="2"/>
      <c r="AG663" s="2"/>
      <c r="AH663" s="2" t="s">
        <v>4180</v>
      </c>
      <c r="AI663" s="2" t="s">
        <v>4179</v>
      </c>
      <c r="AJ663" s="2"/>
      <c r="AK663" s="2"/>
      <c r="AL663" s="2" t="s">
        <v>2926</v>
      </c>
      <c r="AM663" s="16" t="s">
        <v>4384</v>
      </c>
      <c r="AN663" s="2"/>
      <c r="AO663" s="2" t="s">
        <v>4202</v>
      </c>
      <c r="AP663" s="2" t="s">
        <v>3224</v>
      </c>
      <c r="AQ663" s="2"/>
      <c r="AR663" s="16" t="s">
        <v>3751</v>
      </c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</row>
    <row r="664" spans="2:58" ht="17.25" customHeight="1">
      <c r="C664" s="1">
        <v>43964</v>
      </c>
      <c r="E664" s="2" t="s">
        <v>3179</v>
      </c>
      <c r="F664" s="15"/>
      <c r="G664" s="2" t="s">
        <v>4181</v>
      </c>
      <c r="H664" s="2" t="s">
        <v>4459</v>
      </c>
      <c r="I664" s="2"/>
      <c r="J664" s="2">
        <v>1</v>
      </c>
      <c r="K664" s="2" t="s">
        <v>3449</v>
      </c>
      <c r="L664" s="3">
        <v>18.95</v>
      </c>
      <c r="M664" s="3">
        <v>1.89</v>
      </c>
      <c r="N664" s="3">
        <v>1.19</v>
      </c>
      <c r="O664" s="3"/>
      <c r="P664" s="3">
        <v>1.33</v>
      </c>
      <c r="Q664" s="6">
        <f t="shared" si="1491"/>
        <v>17.2</v>
      </c>
      <c r="R664" s="3"/>
      <c r="S664" s="3">
        <v>12.3</v>
      </c>
      <c r="T664" s="3">
        <v>0</v>
      </c>
      <c r="U664" s="3"/>
      <c r="V664" s="3"/>
      <c r="W664" s="3"/>
      <c r="X664" s="2">
        <f t="shared" si="1492"/>
        <v>12.3</v>
      </c>
      <c r="Y664" s="6">
        <f t="shared" si="1493"/>
        <v>4.8999999999999986</v>
      </c>
      <c r="Z664" s="2"/>
      <c r="AA664" s="2"/>
      <c r="AB664" s="2"/>
      <c r="AC664" s="3"/>
      <c r="AD664" s="2"/>
      <c r="AE664" s="2"/>
      <c r="AF664" s="2"/>
      <c r="AG664" s="2"/>
      <c r="AH664" s="2" t="s">
        <v>4183</v>
      </c>
      <c r="AI664" s="2" t="s">
        <v>4182</v>
      </c>
      <c r="AJ664" s="2"/>
      <c r="AK664" s="2"/>
      <c r="AL664" s="2" t="s">
        <v>2926</v>
      </c>
      <c r="AM664" s="16" t="s">
        <v>4235</v>
      </c>
      <c r="AN664" s="2"/>
      <c r="AO664" s="2" t="s">
        <v>4197</v>
      </c>
      <c r="AP664" s="2" t="s">
        <v>3914</v>
      </c>
      <c r="AQ664" s="2"/>
      <c r="AR664" s="16" t="s">
        <v>4092</v>
      </c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</row>
    <row r="665" spans="2:58" ht="17.25" customHeight="1">
      <c r="C665" s="1">
        <v>43964</v>
      </c>
      <c r="E665" s="2" t="s">
        <v>4176</v>
      </c>
      <c r="F665" s="15"/>
      <c r="G665" s="2" t="s">
        <v>4185</v>
      </c>
      <c r="H665" s="2" t="s">
        <v>4184</v>
      </c>
      <c r="I665" s="2"/>
      <c r="J665" s="2">
        <v>1</v>
      </c>
      <c r="K665" s="2" t="s">
        <v>3449</v>
      </c>
      <c r="L665" s="3">
        <v>83.5</v>
      </c>
      <c r="M665" s="3">
        <v>8.35</v>
      </c>
      <c r="N665" s="3">
        <v>4.3</v>
      </c>
      <c r="O665" s="3">
        <v>0</v>
      </c>
      <c r="P665" s="3">
        <f>7.43-7.43</f>
        <v>0</v>
      </c>
      <c r="Q665" s="6">
        <f t="shared" si="1491"/>
        <v>70.850000000000009</v>
      </c>
      <c r="R665" s="3"/>
      <c r="S665" s="3">
        <v>65.19</v>
      </c>
      <c r="T665" s="3">
        <v>5.8</v>
      </c>
      <c r="U665" s="3"/>
      <c r="V665" s="3"/>
      <c r="W665" s="3">
        <f>6.51+0.58</f>
        <v>7.09</v>
      </c>
      <c r="X665" s="2">
        <f t="shared" si="1492"/>
        <v>63.899999999999991</v>
      </c>
      <c r="Y665" s="6">
        <f t="shared" si="1493"/>
        <v>6.9500000000000171</v>
      </c>
      <c r="Z665" s="2"/>
      <c r="AA665" s="2"/>
      <c r="AB665" s="2"/>
      <c r="AC665" s="3"/>
      <c r="AD665" s="2"/>
      <c r="AE665" s="2"/>
      <c r="AF665" s="2"/>
      <c r="AG665" s="2"/>
      <c r="AH665" s="2" t="s">
        <v>4187</v>
      </c>
      <c r="AI665" s="2" t="s">
        <v>4186</v>
      </c>
      <c r="AJ665" s="2"/>
      <c r="AK665" s="2"/>
      <c r="AL665" s="2" t="s">
        <v>4609</v>
      </c>
      <c r="AM665" s="16" t="s">
        <v>4608</v>
      </c>
      <c r="AN665" s="2">
        <v>1</v>
      </c>
      <c r="AO665" s="32" t="s">
        <v>4588</v>
      </c>
      <c r="AP665" s="2" t="s">
        <v>3696</v>
      </c>
      <c r="AQ665" s="2"/>
      <c r="AR665" s="16" t="s">
        <v>4589</v>
      </c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</row>
    <row r="666" spans="2:58" ht="17.25" customHeight="1">
      <c r="C666" s="1">
        <v>43964</v>
      </c>
      <c r="E666" s="2" t="s">
        <v>4038</v>
      </c>
      <c r="F666" s="15"/>
      <c r="G666" s="2" t="s">
        <v>4169</v>
      </c>
      <c r="H666" s="2" t="s">
        <v>4168</v>
      </c>
      <c r="I666" s="2"/>
      <c r="J666" s="2">
        <v>1</v>
      </c>
      <c r="K666" s="2" t="s">
        <v>3449</v>
      </c>
      <c r="L666" s="3">
        <v>29.35</v>
      </c>
      <c r="M666" s="3">
        <v>2.93</v>
      </c>
      <c r="N666" s="3">
        <v>1.69</v>
      </c>
      <c r="O666" s="3"/>
      <c r="P666" s="3">
        <f>2.13-2.13</f>
        <v>0</v>
      </c>
      <c r="Q666" s="6">
        <f t="shared" ref="Q666:Q669" si="1494">+L666-M666-N666+P666</f>
        <v>24.73</v>
      </c>
      <c r="R666" s="3"/>
      <c r="S666" s="3">
        <v>14.98</v>
      </c>
      <c r="T666" s="3">
        <v>1.0900000000000001</v>
      </c>
      <c r="U666" s="3">
        <v>0</v>
      </c>
      <c r="V666" s="3"/>
      <c r="W666" s="3">
        <v>0</v>
      </c>
      <c r="X666" s="2">
        <f t="shared" ref="X666:X667" si="1495">+S666+T666++U666+V666-W666</f>
        <v>16.07</v>
      </c>
      <c r="Y666" s="6">
        <f t="shared" ref="Y666:Y667" si="1496">+Q666-X666</f>
        <v>8.66</v>
      </c>
      <c r="Z666" s="2"/>
      <c r="AA666" s="2"/>
      <c r="AB666" s="2"/>
      <c r="AC666" s="3"/>
      <c r="AD666" s="2"/>
      <c r="AE666" s="2"/>
      <c r="AF666" s="2"/>
      <c r="AG666" s="2"/>
      <c r="AH666" s="2" t="s">
        <v>4171</v>
      </c>
      <c r="AI666" s="2" t="s">
        <v>4170</v>
      </c>
      <c r="AJ666" s="2"/>
      <c r="AK666" s="2"/>
      <c r="AL666" s="2" t="s">
        <v>2926</v>
      </c>
      <c r="AM666" s="16" t="s">
        <v>4329</v>
      </c>
      <c r="AN666" s="2"/>
      <c r="AO666" s="2" t="s">
        <v>4198</v>
      </c>
      <c r="AP666" s="2" t="s">
        <v>3224</v>
      </c>
      <c r="AQ666" s="2"/>
      <c r="AR666" s="16" t="s">
        <v>3750</v>
      </c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</row>
    <row r="667" spans="2:58" ht="17.25" customHeight="1">
      <c r="C667" s="1">
        <v>43964</v>
      </c>
      <c r="E667" s="2" t="s">
        <v>3562</v>
      </c>
      <c r="F667" s="15"/>
      <c r="G667" s="2" t="s">
        <v>4166</v>
      </c>
      <c r="H667" s="2" t="s">
        <v>4215</v>
      </c>
      <c r="I667" s="2"/>
      <c r="J667" s="2">
        <v>0</v>
      </c>
      <c r="K667" s="2" t="s">
        <v>3581</v>
      </c>
      <c r="L667" s="3">
        <v>0</v>
      </c>
      <c r="M667" s="3">
        <v>0</v>
      </c>
      <c r="N667" s="3">
        <v>0</v>
      </c>
      <c r="O667" s="3"/>
      <c r="P667" s="3">
        <f>2.27-2.27</f>
        <v>0</v>
      </c>
      <c r="Q667" s="6">
        <f t="shared" si="1494"/>
        <v>0</v>
      </c>
      <c r="R667" s="3"/>
      <c r="S667" s="3">
        <v>0</v>
      </c>
      <c r="T667" s="3">
        <v>0</v>
      </c>
      <c r="U667" s="3">
        <v>0</v>
      </c>
      <c r="V667" s="3"/>
      <c r="W667" s="3"/>
      <c r="X667" s="2">
        <f t="shared" si="1495"/>
        <v>0</v>
      </c>
      <c r="Y667" s="6">
        <f t="shared" si="1496"/>
        <v>0</v>
      </c>
      <c r="Z667" s="2"/>
      <c r="AA667" s="2"/>
      <c r="AB667" s="2"/>
      <c r="AC667" s="3"/>
      <c r="AD667" s="2"/>
      <c r="AE667" s="2"/>
      <c r="AF667" s="2"/>
      <c r="AG667" s="2"/>
      <c r="AH667" s="2" t="s">
        <v>4173</v>
      </c>
      <c r="AI667" s="2" t="s">
        <v>4172</v>
      </c>
      <c r="AJ667" s="2"/>
      <c r="AK667" s="2"/>
      <c r="AL667" s="2"/>
      <c r="AM667" s="5" t="s">
        <v>3904</v>
      </c>
      <c r="AN667" s="2"/>
      <c r="AO667" s="5" t="s">
        <v>3904</v>
      </c>
      <c r="AP667" s="2"/>
      <c r="AQ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</row>
    <row r="668" spans="2:58" ht="17.25" customHeight="1">
      <c r="B668" s="50" t="s">
        <v>1370</v>
      </c>
      <c r="C668" s="1">
        <v>43964</v>
      </c>
      <c r="E668" s="2" t="s">
        <v>1494</v>
      </c>
      <c r="F668" s="15"/>
      <c r="G668" s="2" t="s">
        <v>4175</v>
      </c>
      <c r="H668" s="2" t="s">
        <v>4226</v>
      </c>
      <c r="I668" s="2"/>
      <c r="J668" s="2">
        <v>0</v>
      </c>
      <c r="K668" s="2"/>
      <c r="L668" s="3">
        <v>0</v>
      </c>
      <c r="M668" s="3">
        <v>0</v>
      </c>
      <c r="N668" s="3">
        <v>0</v>
      </c>
      <c r="O668" s="3"/>
      <c r="P668" s="3"/>
      <c r="Q668" s="6">
        <f t="shared" si="1494"/>
        <v>0</v>
      </c>
      <c r="R668" s="3"/>
      <c r="S668" s="3">
        <v>0</v>
      </c>
      <c r="T668" s="3"/>
      <c r="U668" s="3">
        <v>0</v>
      </c>
      <c r="V668" s="3"/>
      <c r="W668" s="3"/>
      <c r="X668" s="2">
        <f t="shared" ref="X668:X669" si="1497">+S668+T668++U668+V668-W668</f>
        <v>0</v>
      </c>
      <c r="Y668" s="6">
        <f t="shared" ref="Y668:Y669" si="1498">+Q668-X668</f>
        <v>0</v>
      </c>
      <c r="Z668" s="2"/>
      <c r="AA668" s="2"/>
      <c r="AB668" s="2"/>
      <c r="AC668" s="3"/>
      <c r="AD668" s="2"/>
      <c r="AE668" s="2"/>
      <c r="AF668" s="2"/>
      <c r="AG668" s="2"/>
      <c r="AH668" s="2" t="s">
        <v>4233</v>
      </c>
      <c r="AI668" s="2" t="s">
        <v>4232</v>
      </c>
      <c r="AJ668" s="2"/>
      <c r="AK668" s="2"/>
      <c r="AL668" s="2"/>
      <c r="AM668" s="5" t="s">
        <v>4385</v>
      </c>
      <c r="AN668" s="2"/>
      <c r="AO668" s="5" t="s">
        <v>4385</v>
      </c>
      <c r="AP668" s="2" t="s">
        <v>2887</v>
      </c>
      <c r="AQ668" s="2"/>
      <c r="AR668" s="16"/>
      <c r="AS668" s="2"/>
      <c r="AT668" s="31" t="s">
        <v>4234</v>
      </c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</row>
    <row r="669" spans="2:58" ht="17.25" customHeight="1">
      <c r="B669" s="50" t="s">
        <v>1370</v>
      </c>
      <c r="C669" s="1">
        <v>43964</v>
      </c>
      <c r="E669" s="2" t="s">
        <v>1923</v>
      </c>
      <c r="F669" s="15"/>
      <c r="G669" s="2" t="s">
        <v>4175</v>
      </c>
      <c r="H669" s="2" t="s">
        <v>4174</v>
      </c>
      <c r="I669" s="2"/>
      <c r="J669" s="2">
        <v>1</v>
      </c>
      <c r="K669" s="2"/>
      <c r="L669" s="3">
        <v>13</v>
      </c>
      <c r="M669" s="3">
        <v>1.3</v>
      </c>
      <c r="N669" s="3">
        <v>0.7</v>
      </c>
      <c r="O669" s="3"/>
      <c r="P669" s="3"/>
      <c r="Q669" s="6">
        <f t="shared" si="1494"/>
        <v>11</v>
      </c>
      <c r="R669" s="3"/>
      <c r="S669" s="3">
        <v>0.36</v>
      </c>
      <c r="T669" s="3"/>
      <c r="U669" s="3">
        <v>4.21</v>
      </c>
      <c r="V669" s="3"/>
      <c r="W669" s="3"/>
      <c r="X669" s="3">
        <f t="shared" si="1497"/>
        <v>4.57</v>
      </c>
      <c r="Y669" s="3">
        <f t="shared" si="1498"/>
        <v>6.43</v>
      </c>
      <c r="Z669" s="6">
        <f>SUM(Y660:Y669)</f>
        <v>61.440000000000033</v>
      </c>
      <c r="AA669" s="2"/>
      <c r="AB669" s="2"/>
      <c r="AC669" s="3"/>
      <c r="AD669" s="2"/>
      <c r="AE669" s="2"/>
      <c r="AF669" s="2"/>
      <c r="AG669" s="2"/>
      <c r="AH669" s="2" t="s">
        <v>4233</v>
      </c>
      <c r="AI669" s="2" t="s">
        <v>4232</v>
      </c>
      <c r="AJ669" s="2"/>
      <c r="AK669" s="2"/>
      <c r="AL669" s="2" t="s">
        <v>3705</v>
      </c>
      <c r="AM669" s="16" t="s">
        <v>4353</v>
      </c>
      <c r="AN669" s="2"/>
      <c r="AO669" s="2" t="s">
        <v>4230</v>
      </c>
      <c r="AP669" s="2" t="s">
        <v>4231</v>
      </c>
      <c r="AQ669" s="2"/>
      <c r="AR669" s="16" t="s">
        <v>3919</v>
      </c>
      <c r="AS669" s="2"/>
      <c r="AT669" s="2"/>
      <c r="AU669" s="2" t="s">
        <v>6289</v>
      </c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</row>
    <row r="670" spans="2:58" ht="17.25" customHeight="1">
      <c r="C670" s="1">
        <v>43963</v>
      </c>
      <c r="E670" s="2" t="s">
        <v>3562</v>
      </c>
      <c r="F670" s="15"/>
      <c r="G670" s="2" t="s">
        <v>4140</v>
      </c>
      <c r="H670" s="2" t="s">
        <v>4139</v>
      </c>
      <c r="I670" s="2"/>
      <c r="J670" s="2">
        <v>1</v>
      </c>
      <c r="K670" s="2" t="s">
        <v>3449</v>
      </c>
      <c r="L670" s="3">
        <v>31.25</v>
      </c>
      <c r="M670" s="3">
        <v>3.12</v>
      </c>
      <c r="N670" s="3">
        <v>1.76</v>
      </c>
      <c r="O670" s="3"/>
      <c r="P670" s="3">
        <f>2.27-2.27</f>
        <v>0</v>
      </c>
      <c r="Q670" s="6">
        <f t="shared" ref="Q670:Q672" si="1499">+L670-M670-N670+P670</f>
        <v>26.369999999999997</v>
      </c>
      <c r="R670" s="3"/>
      <c r="S670" s="3">
        <v>19.63</v>
      </c>
      <c r="T670" s="3">
        <v>1.18</v>
      </c>
      <c r="U670" s="3">
        <v>0</v>
      </c>
      <c r="V670" s="3"/>
      <c r="W670" s="3"/>
      <c r="X670" s="2">
        <f t="shared" ref="X670:X672" si="1500">+S670+T670++U670+V670-W670</f>
        <v>20.81</v>
      </c>
      <c r="Y670" s="6">
        <f t="shared" ref="Y670:Y672" si="1501">+Q670-X670</f>
        <v>5.5599999999999987</v>
      </c>
      <c r="Z670" s="2"/>
      <c r="AA670" s="2"/>
      <c r="AB670" s="2"/>
      <c r="AC670" s="3"/>
      <c r="AD670" s="2"/>
      <c r="AE670" s="2"/>
      <c r="AF670" s="2"/>
      <c r="AG670" s="2"/>
      <c r="AH670" s="2" t="s">
        <v>4152</v>
      </c>
      <c r="AI670" s="2" t="s">
        <v>4151</v>
      </c>
      <c r="AJ670" s="2"/>
      <c r="AK670" s="2"/>
      <c r="AL670" s="2" t="s">
        <v>3071</v>
      </c>
      <c r="AM670" s="16" t="s">
        <v>4188</v>
      </c>
      <c r="AN670" s="2"/>
      <c r="AO670" s="2" t="s">
        <v>4153</v>
      </c>
      <c r="AP670" s="2" t="s">
        <v>3519</v>
      </c>
      <c r="AQ670" s="2"/>
      <c r="AR670" s="16" t="s">
        <v>3750</v>
      </c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</row>
    <row r="671" spans="2:58" ht="17.25" customHeight="1">
      <c r="C671" s="1">
        <v>43963</v>
      </c>
      <c r="E671" s="2" t="s">
        <v>4138</v>
      </c>
      <c r="F671" s="15"/>
      <c r="G671" s="2" t="s">
        <v>4142</v>
      </c>
      <c r="H671" s="2" t="s">
        <v>4141</v>
      </c>
      <c r="I671" s="2"/>
      <c r="J671" s="2">
        <v>1</v>
      </c>
      <c r="K671" s="2" t="s">
        <v>3449</v>
      </c>
      <c r="L671" s="3">
        <v>31.5</v>
      </c>
      <c r="M671" s="3">
        <v>3.15</v>
      </c>
      <c r="N671" s="3">
        <v>1.82</v>
      </c>
      <c r="O671" s="3"/>
      <c r="P671" s="3">
        <f>2.99-2.99</f>
        <v>0</v>
      </c>
      <c r="Q671" s="6">
        <f t="shared" si="1499"/>
        <v>26.53</v>
      </c>
      <c r="R671" s="3"/>
      <c r="S671" s="3">
        <v>21.99</v>
      </c>
      <c r="T671" s="3">
        <v>2.0099999999999998</v>
      </c>
      <c r="U671" s="3"/>
      <c r="V671" s="3"/>
      <c r="W671" s="3"/>
      <c r="X671" s="2">
        <f t="shared" si="1500"/>
        <v>24</v>
      </c>
      <c r="Y671" s="6">
        <f t="shared" si="1501"/>
        <v>2.5300000000000011</v>
      </c>
      <c r="Z671" s="2"/>
      <c r="AA671" s="2"/>
      <c r="AB671" s="2"/>
      <c r="AC671" s="3"/>
      <c r="AD671" s="2"/>
      <c r="AE671" s="2"/>
      <c r="AF671" s="2"/>
      <c r="AG671" s="2"/>
      <c r="AH671" s="2" t="s">
        <v>4155</v>
      </c>
      <c r="AI671" s="2" t="s">
        <v>4154</v>
      </c>
      <c r="AJ671" s="2"/>
      <c r="AK671" s="2"/>
      <c r="AL671" s="2" t="s">
        <v>4228</v>
      </c>
      <c r="AM671" s="2" t="s">
        <v>4227</v>
      </c>
      <c r="AN671" s="2"/>
      <c r="AO671" s="2" t="s">
        <v>4193</v>
      </c>
      <c r="AP671" s="2" t="s">
        <v>4195</v>
      </c>
      <c r="AQ671" s="2"/>
      <c r="AR671" s="16" t="s">
        <v>4194</v>
      </c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</row>
    <row r="672" spans="2:58" ht="17.25" customHeight="1">
      <c r="B672" s="43" t="s">
        <v>1370</v>
      </c>
      <c r="C672" s="1">
        <v>43963</v>
      </c>
      <c r="E672" s="2" t="s">
        <v>4053</v>
      </c>
      <c r="F672" s="15"/>
      <c r="G672" s="2" t="s">
        <v>4144</v>
      </c>
      <c r="H672" s="2" t="s">
        <v>4143</v>
      </c>
      <c r="I672" s="2"/>
      <c r="J672" s="2">
        <v>1</v>
      </c>
      <c r="K672" s="2"/>
      <c r="L672" s="3">
        <v>17.8</v>
      </c>
      <c r="M672" s="3">
        <v>1.78</v>
      </c>
      <c r="N672" s="3">
        <v>1.1399999999999999</v>
      </c>
      <c r="O672" s="3"/>
      <c r="P672" s="3">
        <v>0</v>
      </c>
      <c r="Q672" s="6">
        <f t="shared" si="1499"/>
        <v>14.879999999999999</v>
      </c>
      <c r="R672" s="3"/>
      <c r="S672" s="3">
        <v>4.6100000000000003</v>
      </c>
      <c r="T672" s="3">
        <v>0.91</v>
      </c>
      <c r="U672" s="3">
        <v>4.74</v>
      </c>
      <c r="V672" s="3"/>
      <c r="W672" s="3"/>
      <c r="X672" s="2">
        <f t="shared" si="1500"/>
        <v>10.260000000000002</v>
      </c>
      <c r="Y672" s="6">
        <f t="shared" si="1501"/>
        <v>4.6199999999999974</v>
      </c>
      <c r="Z672" s="6">
        <f>SUM(Y670:Y672)</f>
        <v>12.709999999999997</v>
      </c>
      <c r="AA672" s="2"/>
      <c r="AB672" s="2"/>
      <c r="AC672" s="3"/>
      <c r="AD672" s="2"/>
      <c r="AE672" s="2"/>
      <c r="AF672" s="2"/>
      <c r="AG672" s="2"/>
      <c r="AH672" s="2" t="s">
        <v>4157</v>
      </c>
      <c r="AI672" s="2" t="s">
        <v>4156</v>
      </c>
      <c r="AJ672" s="2"/>
      <c r="AK672" s="2"/>
      <c r="AL672" s="2" t="s">
        <v>4421</v>
      </c>
      <c r="AM672" s="16" t="s">
        <v>4432</v>
      </c>
      <c r="AN672" s="2"/>
      <c r="AO672" s="16" t="s">
        <v>4433</v>
      </c>
      <c r="AP672" s="2" t="s">
        <v>4098</v>
      </c>
      <c r="AQ672" s="2"/>
      <c r="AR672" s="16" t="s">
        <v>3919</v>
      </c>
      <c r="AS672" s="2" t="s">
        <v>6874</v>
      </c>
      <c r="AT672" s="46" t="s">
        <v>6875</v>
      </c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</row>
    <row r="673" spans="2:58" ht="17.25" customHeight="1">
      <c r="C673" s="1">
        <v>43962</v>
      </c>
      <c r="E673" s="2" t="s">
        <v>4075</v>
      </c>
      <c r="F673" s="15"/>
      <c r="G673" s="2" t="s">
        <v>4077</v>
      </c>
      <c r="H673" s="2" t="s">
        <v>4076</v>
      </c>
      <c r="I673" s="2"/>
      <c r="J673" s="2">
        <v>1</v>
      </c>
      <c r="K673" s="2"/>
      <c r="L673" s="3">
        <v>27.8</v>
      </c>
      <c r="M673" s="3">
        <v>2.78</v>
      </c>
      <c r="N673" s="3">
        <v>1.6</v>
      </c>
      <c r="O673" s="3"/>
      <c r="P673" s="3">
        <f>1.67-1.67</f>
        <v>0</v>
      </c>
      <c r="Q673" s="6">
        <f t="shared" ref="Q673:Q674" si="1502">+L673-M673-N673+P673</f>
        <v>23.419999999999998</v>
      </c>
      <c r="R673" s="3"/>
      <c r="S673" s="3">
        <v>17.989999999999998</v>
      </c>
      <c r="T673" s="3">
        <v>1.08</v>
      </c>
      <c r="U673" s="3"/>
      <c r="V673" s="3"/>
      <c r="W673" s="3"/>
      <c r="X673" s="2">
        <f t="shared" ref="X673:X674" si="1503">+S673+T673++U673+V673-W673</f>
        <v>19.07</v>
      </c>
      <c r="Y673" s="6">
        <f t="shared" ref="Y673:Y674" si="1504">+Q673-X673</f>
        <v>4.3499999999999979</v>
      </c>
      <c r="Z673" s="2"/>
      <c r="AA673" s="2"/>
      <c r="AB673" s="2"/>
      <c r="AC673" s="3"/>
      <c r="AD673" s="2"/>
      <c r="AE673" s="2"/>
      <c r="AF673" s="2"/>
      <c r="AG673" s="2"/>
      <c r="AH673" s="2" t="s">
        <v>4106</v>
      </c>
      <c r="AI673" s="2" t="s">
        <v>4105</v>
      </c>
      <c r="AJ673" s="2"/>
      <c r="AK673" s="2"/>
      <c r="AL673" s="2" t="s">
        <v>4228</v>
      </c>
      <c r="AM673" s="2" t="s">
        <v>4358</v>
      </c>
      <c r="AN673" s="2"/>
      <c r="AO673" s="2" t="s">
        <v>4158</v>
      </c>
      <c r="AP673" s="2" t="s">
        <v>4160</v>
      </c>
      <c r="AQ673" s="2"/>
      <c r="AR673" s="16" t="s">
        <v>4159</v>
      </c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</row>
    <row r="674" spans="2:58" ht="17.25" customHeight="1">
      <c r="C674" s="1">
        <v>43962</v>
      </c>
      <c r="E674" s="2" t="s">
        <v>3421</v>
      </c>
      <c r="F674" s="15"/>
      <c r="G674" s="2" t="s">
        <v>4074</v>
      </c>
      <c r="H674" s="2" t="s">
        <v>4073</v>
      </c>
      <c r="I674" s="2"/>
      <c r="J674" s="2">
        <v>1</v>
      </c>
      <c r="K674" s="2" t="s">
        <v>4104</v>
      </c>
      <c r="L674" s="3">
        <v>83.5</v>
      </c>
      <c r="M674" s="3">
        <v>8.35</v>
      </c>
      <c r="N674" s="3">
        <v>4.3</v>
      </c>
      <c r="O674" s="3">
        <v>0</v>
      </c>
      <c r="P674" s="3">
        <f>5.85-5.85</f>
        <v>0</v>
      </c>
      <c r="Q674" s="6">
        <f t="shared" si="1502"/>
        <v>70.850000000000009</v>
      </c>
      <c r="R674" s="3"/>
      <c r="S674" s="3">
        <v>65.19</v>
      </c>
      <c r="T674" s="3">
        <v>5.7</v>
      </c>
      <c r="U674" s="3"/>
      <c r="V674" s="3"/>
      <c r="W674" s="3">
        <f>6.51+0.57</f>
        <v>7.08</v>
      </c>
      <c r="X674" s="2">
        <f t="shared" si="1503"/>
        <v>63.81</v>
      </c>
      <c r="Y674" s="6">
        <f t="shared" si="1504"/>
        <v>7.0400000000000063</v>
      </c>
      <c r="Z674" s="2"/>
      <c r="AA674" s="2"/>
      <c r="AB674" s="2"/>
      <c r="AC674" s="3"/>
      <c r="AD674" s="2"/>
      <c r="AE674" s="2"/>
      <c r="AF674" s="2"/>
      <c r="AG674" s="2"/>
      <c r="AH674" s="2" t="s">
        <v>4103</v>
      </c>
      <c r="AI674" s="2" t="s">
        <v>4102</v>
      </c>
      <c r="AJ674" s="2"/>
      <c r="AK674" s="2"/>
      <c r="AL674" s="2" t="s">
        <v>3071</v>
      </c>
      <c r="AM674" s="16" t="s">
        <v>4472</v>
      </c>
      <c r="AN674" s="2">
        <v>1</v>
      </c>
      <c r="AO674" s="2" t="s">
        <v>4464</v>
      </c>
      <c r="AP674" s="2" t="s">
        <v>3696</v>
      </c>
      <c r="AQ674" s="2"/>
      <c r="AR674" s="16" t="s">
        <v>4465</v>
      </c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</row>
    <row r="675" spans="2:58" ht="17.25" customHeight="1">
      <c r="C675" s="1">
        <v>43962</v>
      </c>
      <c r="E675" s="2" t="s">
        <v>3288</v>
      </c>
      <c r="F675" s="15"/>
      <c r="G675" s="2" t="s">
        <v>4059</v>
      </c>
      <c r="H675" s="2" t="s">
        <v>4058</v>
      </c>
      <c r="I675" s="2"/>
      <c r="J675" s="2">
        <v>1</v>
      </c>
      <c r="K675" s="2"/>
      <c r="L675" s="3">
        <v>31.25</v>
      </c>
      <c r="M675" s="3">
        <v>3.12</v>
      </c>
      <c r="N675" s="3">
        <v>1.68</v>
      </c>
      <c r="O675" s="3"/>
      <c r="P675" s="3">
        <v>0</v>
      </c>
      <c r="Q675" s="6">
        <f t="shared" ref="Q675:Q676" si="1505">+L675-M675-N675+P675</f>
        <v>26.45</v>
      </c>
      <c r="R675" s="3"/>
      <c r="S675" s="3">
        <v>17.989999999999998</v>
      </c>
      <c r="T675" s="3">
        <v>0</v>
      </c>
      <c r="U675" s="3">
        <v>0</v>
      </c>
      <c r="V675" s="3"/>
      <c r="W675" s="3">
        <v>0</v>
      </c>
      <c r="X675" s="2">
        <f t="shared" ref="X675:X676" si="1506">+S675+T675++U675+V675-W675</f>
        <v>17.989999999999998</v>
      </c>
      <c r="Y675" s="6">
        <f t="shared" ref="Y675:Y676" si="1507">+Q675-X675</f>
        <v>8.4600000000000009</v>
      </c>
      <c r="Z675" s="2"/>
      <c r="AA675" s="2"/>
      <c r="AB675" s="2"/>
      <c r="AC675" s="3"/>
      <c r="AD675" s="2"/>
      <c r="AE675" s="2"/>
      <c r="AF675" s="2"/>
      <c r="AG675" s="2"/>
      <c r="AH675" s="2" t="s">
        <v>4061</v>
      </c>
      <c r="AI675" s="2" t="s">
        <v>4060</v>
      </c>
      <c r="AJ675" s="2"/>
      <c r="AK675" s="2"/>
      <c r="AL675" s="2" t="s">
        <v>2926</v>
      </c>
      <c r="AM675" s="16" t="s">
        <v>4366</v>
      </c>
      <c r="AN675" s="2"/>
      <c r="AO675" s="2" t="s">
        <v>4161</v>
      </c>
      <c r="AP675" s="2" t="s">
        <v>3685</v>
      </c>
      <c r="AQ675" s="2"/>
      <c r="AR675" s="16" t="s">
        <v>3795</v>
      </c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</row>
    <row r="676" spans="2:58" ht="17.25" customHeight="1">
      <c r="B676" s="43" t="s">
        <v>1370</v>
      </c>
      <c r="C676" s="1">
        <v>43962</v>
      </c>
      <c r="E676" s="2" t="s">
        <v>4053</v>
      </c>
      <c r="F676" s="15"/>
      <c r="G676" s="2" t="s">
        <v>4057</v>
      </c>
      <c r="H676" s="2" t="s">
        <v>4056</v>
      </c>
      <c r="I676" s="2"/>
      <c r="J676" s="2">
        <v>1</v>
      </c>
      <c r="K676" s="2"/>
      <c r="L676" s="3">
        <v>16.600000000000001</v>
      </c>
      <c r="M676" s="3">
        <v>1.66</v>
      </c>
      <c r="N676" s="3">
        <v>1.1000000000000001</v>
      </c>
      <c r="O676" s="3"/>
      <c r="P676" s="3">
        <v>0</v>
      </c>
      <c r="Q676" s="6">
        <f t="shared" si="1505"/>
        <v>13.840000000000002</v>
      </c>
      <c r="R676" s="3"/>
      <c r="S676" s="3">
        <v>4.6100000000000003</v>
      </c>
      <c r="T676" s="3">
        <v>0</v>
      </c>
      <c r="U676" s="3">
        <v>5.05</v>
      </c>
      <c r="V676" s="3"/>
      <c r="W676" s="3"/>
      <c r="X676" s="2">
        <f t="shared" si="1506"/>
        <v>9.66</v>
      </c>
      <c r="Y676" s="6">
        <f t="shared" si="1507"/>
        <v>4.1800000000000015</v>
      </c>
      <c r="Z676" s="2"/>
      <c r="AA676" s="2"/>
      <c r="AB676" s="2"/>
      <c r="AC676" s="3"/>
      <c r="AD676" s="2"/>
      <c r="AE676" s="2"/>
      <c r="AF676" s="2"/>
      <c r="AG676" s="2"/>
      <c r="AH676" s="2" t="s">
        <v>4069</v>
      </c>
      <c r="AI676" s="2" t="s">
        <v>4068</v>
      </c>
      <c r="AJ676" s="2"/>
      <c r="AK676" s="2"/>
      <c r="AL676" s="2" t="s">
        <v>2926</v>
      </c>
      <c r="AM676" s="16" t="s">
        <v>4436</v>
      </c>
      <c r="AN676" s="2"/>
      <c r="AO676" s="16" t="s">
        <v>4071</v>
      </c>
      <c r="AP676" s="2" t="s">
        <v>4098</v>
      </c>
      <c r="AQ676" s="2"/>
      <c r="AR676" s="16" t="s">
        <v>4072</v>
      </c>
      <c r="AS676" s="2" t="s">
        <v>8421</v>
      </c>
      <c r="AT676" s="2" t="s">
        <v>8422</v>
      </c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</row>
    <row r="677" spans="2:58" ht="17.25" customHeight="1">
      <c r="C677" s="1">
        <v>43962</v>
      </c>
      <c r="E677" s="2" t="s">
        <v>3288</v>
      </c>
      <c r="F677" s="15"/>
      <c r="G677" s="2" t="s">
        <v>4055</v>
      </c>
      <c r="H677" s="2" t="s">
        <v>4054</v>
      </c>
      <c r="I677" s="2"/>
      <c r="J677" s="2">
        <v>1</v>
      </c>
      <c r="K677" s="2"/>
      <c r="L677" s="3">
        <v>31.25</v>
      </c>
      <c r="M677" s="3">
        <v>3.12</v>
      </c>
      <c r="N677" s="3">
        <v>1.75</v>
      </c>
      <c r="O677" s="3"/>
      <c r="P677" s="3">
        <f>1.6-1.6</f>
        <v>0</v>
      </c>
      <c r="Q677" s="6">
        <f t="shared" ref="Q677:Q679" si="1508">+L677-M677-N677+P677</f>
        <v>26.38</v>
      </c>
      <c r="R677" s="3"/>
      <c r="S677" s="3">
        <v>17.989999999999998</v>
      </c>
      <c r="T677" s="3">
        <v>0.92</v>
      </c>
      <c r="U677" s="3">
        <v>0</v>
      </c>
      <c r="V677" s="3"/>
      <c r="W677" s="3">
        <v>0</v>
      </c>
      <c r="X677" s="2">
        <f t="shared" ref="X677:X679" si="1509">+S677+T677++U677+V677-W677</f>
        <v>18.91</v>
      </c>
      <c r="Y677" s="6">
        <f t="shared" ref="Y677:Y679" si="1510">+Q677-X677</f>
        <v>7.4699999999999989</v>
      </c>
      <c r="Z677" s="2"/>
      <c r="AA677" s="2"/>
      <c r="AB677" s="2"/>
      <c r="AC677" s="3"/>
      <c r="AD677" s="2"/>
      <c r="AE677" s="2"/>
      <c r="AF677" s="2"/>
      <c r="AG677" s="2"/>
      <c r="AH677" s="2" t="s">
        <v>4063</v>
      </c>
      <c r="AI677" s="2" t="s">
        <v>4062</v>
      </c>
      <c r="AJ677" s="2"/>
      <c r="AK677" s="2"/>
      <c r="AL677" s="2" t="s">
        <v>2926</v>
      </c>
      <c r="AM677" s="16" t="s">
        <v>4349</v>
      </c>
      <c r="AN677" s="2"/>
      <c r="AO677" s="2" t="s">
        <v>4108</v>
      </c>
      <c r="AP677" s="2"/>
      <c r="AQ677" s="2"/>
      <c r="AR677" s="16" t="s">
        <v>3751</v>
      </c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</row>
    <row r="678" spans="2:58" ht="17.25" customHeight="1">
      <c r="C678" s="1">
        <v>43962</v>
      </c>
      <c r="E678" s="2" t="s">
        <v>4040</v>
      </c>
      <c r="F678" s="15"/>
      <c r="G678" s="2" t="s">
        <v>4041</v>
      </c>
      <c r="H678" s="2" t="s">
        <v>2787</v>
      </c>
      <c r="I678" s="2"/>
      <c r="J678" s="2">
        <v>1</v>
      </c>
      <c r="K678" s="2"/>
      <c r="L678" s="3">
        <v>54.65</v>
      </c>
      <c r="M678" s="3">
        <v>5.46</v>
      </c>
      <c r="N678" s="3">
        <v>2.93</v>
      </c>
      <c r="O678" s="3"/>
      <c r="P678" s="6">
        <f>5.19-5.19</f>
        <v>0</v>
      </c>
      <c r="Q678" s="6">
        <f t="shared" si="1508"/>
        <v>46.26</v>
      </c>
      <c r="R678" s="3"/>
      <c r="S678" s="3">
        <v>39.99</v>
      </c>
      <c r="T678" s="3">
        <v>3.8</v>
      </c>
      <c r="U678" s="3"/>
      <c r="V678" s="3"/>
      <c r="W678" s="3"/>
      <c r="X678" s="2">
        <f t="shared" si="1509"/>
        <v>43.79</v>
      </c>
      <c r="Y678" s="6">
        <f t="shared" si="1510"/>
        <v>2.4699999999999989</v>
      </c>
      <c r="Z678" s="2"/>
      <c r="AA678" s="2"/>
      <c r="AB678" s="2"/>
      <c r="AC678" s="3"/>
      <c r="AD678" s="2"/>
      <c r="AE678" s="2"/>
      <c r="AF678" s="2"/>
      <c r="AG678" s="2"/>
      <c r="AH678" s="2" t="s">
        <v>2789</v>
      </c>
      <c r="AI678" s="2" t="s">
        <v>2788</v>
      </c>
      <c r="AJ678" s="2"/>
      <c r="AK678" s="2"/>
      <c r="AL678" s="2" t="s">
        <v>4228</v>
      </c>
      <c r="AM678" s="2" t="s">
        <v>4351</v>
      </c>
      <c r="AN678" s="2"/>
      <c r="AO678" s="2" t="s">
        <v>4196</v>
      </c>
      <c r="AP678" s="2" t="s">
        <v>3772</v>
      </c>
      <c r="AQ678" s="2"/>
      <c r="AR678" s="16" t="s">
        <v>3750</v>
      </c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</row>
    <row r="679" spans="2:58" ht="17.25" customHeight="1">
      <c r="C679" s="1">
        <v>43962</v>
      </c>
      <c r="E679" s="2" t="s">
        <v>3562</v>
      </c>
      <c r="F679" s="15"/>
      <c r="G679" s="2" t="s">
        <v>4043</v>
      </c>
      <c r="H679" s="2" t="s">
        <v>4042</v>
      </c>
      <c r="I679" s="2"/>
      <c r="J679" s="2">
        <v>1</v>
      </c>
      <c r="K679" s="2"/>
      <c r="L679" s="3">
        <v>31.25</v>
      </c>
      <c r="M679" s="3">
        <v>3.12</v>
      </c>
      <c r="N679" s="3">
        <v>1.77</v>
      </c>
      <c r="O679" s="3"/>
      <c r="P679" s="3">
        <f>2.27-2.27</f>
        <v>0</v>
      </c>
      <c r="Q679" s="6">
        <f t="shared" si="1508"/>
        <v>26.36</v>
      </c>
      <c r="R679" s="3"/>
      <c r="S679" s="3">
        <v>14.9</v>
      </c>
      <c r="T679" s="3">
        <v>1.44</v>
      </c>
      <c r="U679" s="3">
        <v>4.99</v>
      </c>
      <c r="V679" s="3"/>
      <c r="W679" s="3"/>
      <c r="X679" s="2">
        <f t="shared" si="1509"/>
        <v>21.33</v>
      </c>
      <c r="Y679" s="6">
        <f t="shared" si="1510"/>
        <v>5.0300000000000011</v>
      </c>
      <c r="Z679" s="2"/>
      <c r="AA679" s="2"/>
      <c r="AB679" s="2"/>
      <c r="AC679" s="3"/>
      <c r="AD679" s="2"/>
      <c r="AE679" s="2"/>
      <c r="AF679" s="2"/>
      <c r="AG679" s="2"/>
      <c r="AH679" s="2" t="s">
        <v>4030</v>
      </c>
      <c r="AI679" s="2" t="s">
        <v>4029</v>
      </c>
      <c r="AJ679" s="2"/>
      <c r="AK679" s="2"/>
      <c r="AL679" s="2" t="s">
        <v>3071</v>
      </c>
      <c r="AM679" s="16" t="s">
        <v>4146</v>
      </c>
      <c r="AN679" s="2"/>
      <c r="AO679" s="2" t="s">
        <v>4097</v>
      </c>
      <c r="AP679" s="2" t="s">
        <v>3519</v>
      </c>
      <c r="AQ679" s="2"/>
      <c r="AR679" s="16" t="s">
        <v>4092</v>
      </c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</row>
    <row r="680" spans="2:58" ht="17.25" customHeight="1">
      <c r="C680" s="1">
        <v>43962</v>
      </c>
      <c r="E680" s="2" t="s">
        <v>3288</v>
      </c>
      <c r="F680" s="15"/>
      <c r="G680" s="2" t="s">
        <v>4045</v>
      </c>
      <c r="H680" s="2" t="s">
        <v>4044</v>
      </c>
      <c r="I680" s="2"/>
      <c r="J680" s="2">
        <v>1</v>
      </c>
      <c r="K680" s="2"/>
      <c r="L680" s="3">
        <v>31.25</v>
      </c>
      <c r="M680" s="3">
        <v>3.12</v>
      </c>
      <c r="N680" s="3">
        <v>1.81</v>
      </c>
      <c r="O680" s="3"/>
      <c r="P680" s="3">
        <f>2.97-2.97</f>
        <v>0</v>
      </c>
      <c r="Q680" s="6">
        <f t="shared" ref="Q680" si="1511">+L680-M680-N680+P680</f>
        <v>26.32</v>
      </c>
      <c r="R680" s="3"/>
      <c r="S680" s="3">
        <v>17.989999999999998</v>
      </c>
      <c r="T680" s="3">
        <v>1.71</v>
      </c>
      <c r="U680" s="3">
        <v>0</v>
      </c>
      <c r="V680" s="3"/>
      <c r="W680" s="3">
        <v>0</v>
      </c>
      <c r="X680" s="2">
        <f t="shared" ref="X680" si="1512">+S680+T680++U680+V680-W680</f>
        <v>19.7</v>
      </c>
      <c r="Y680" s="6">
        <f t="shared" ref="Y680" si="1513">+Q680-X680</f>
        <v>6.620000000000001</v>
      </c>
      <c r="Z680" s="2"/>
      <c r="AA680" s="2"/>
      <c r="AB680" s="2"/>
      <c r="AC680" s="3"/>
      <c r="AD680" s="2"/>
      <c r="AE680" s="2"/>
      <c r="AF680" s="2"/>
      <c r="AG680" s="2"/>
      <c r="AH680" s="2" t="s">
        <v>4065</v>
      </c>
      <c r="AI680" s="2" t="s">
        <v>4064</v>
      </c>
      <c r="AJ680" s="2"/>
      <c r="AK680" s="2"/>
      <c r="AL680" s="2" t="s">
        <v>4228</v>
      </c>
      <c r="AM680" s="16" t="s">
        <v>4306</v>
      </c>
      <c r="AN680" s="2"/>
      <c r="AO680" s="2" t="s">
        <v>4107</v>
      </c>
      <c r="AP680" s="2"/>
      <c r="AQ680" s="2"/>
      <c r="AR680" s="16" t="s">
        <v>3750</v>
      </c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</row>
    <row r="681" spans="2:58" ht="17.25" customHeight="1">
      <c r="C681" s="1">
        <v>43962</v>
      </c>
      <c r="E681" s="2" t="s">
        <v>3562</v>
      </c>
      <c r="F681" s="15"/>
      <c r="G681" s="2" t="s">
        <v>4017</v>
      </c>
      <c r="H681" s="2" t="s">
        <v>4016</v>
      </c>
      <c r="I681" s="2"/>
      <c r="J681" s="2">
        <v>1</v>
      </c>
      <c r="K681" s="2" t="s">
        <v>3449</v>
      </c>
      <c r="L681" s="3">
        <v>31.25</v>
      </c>
      <c r="M681" s="3">
        <v>3.12</v>
      </c>
      <c r="N681" s="3">
        <v>1.77</v>
      </c>
      <c r="O681" s="3"/>
      <c r="P681" s="3">
        <f>2.27-2.27</f>
        <v>0</v>
      </c>
      <c r="Q681" s="6">
        <f t="shared" ref="Q681:Q682" si="1514">+L681-M681-N681+P681</f>
        <v>26.36</v>
      </c>
      <c r="R681" s="3"/>
      <c r="S681" s="3">
        <v>14.9</v>
      </c>
      <c r="T681" s="3">
        <v>1.44</v>
      </c>
      <c r="U681" s="3">
        <v>4.99</v>
      </c>
      <c r="V681" s="3"/>
      <c r="W681" s="3"/>
      <c r="X681" s="2">
        <f t="shared" ref="X681" si="1515">+S681+T681++U681+V681-W681</f>
        <v>21.33</v>
      </c>
      <c r="Y681" s="6">
        <f t="shared" ref="Y681" si="1516">+Q681-X681</f>
        <v>5.0300000000000011</v>
      </c>
      <c r="Z681" s="2"/>
      <c r="AA681" s="2"/>
      <c r="AB681" s="2"/>
      <c r="AC681" s="3"/>
      <c r="AD681" s="2"/>
      <c r="AE681" s="2"/>
      <c r="AF681" s="2"/>
      <c r="AG681" s="2"/>
      <c r="AH681" s="2" t="s">
        <v>4030</v>
      </c>
      <c r="AI681" s="2" t="s">
        <v>4029</v>
      </c>
      <c r="AJ681" s="2"/>
      <c r="AK681" s="2"/>
      <c r="AL681" s="2" t="s">
        <v>3071</v>
      </c>
      <c r="AM681" s="16" t="s">
        <v>4149</v>
      </c>
      <c r="AN681" s="2"/>
      <c r="AO681" s="2" t="s">
        <v>4096</v>
      </c>
      <c r="AP681" s="2" t="s">
        <v>3519</v>
      </c>
      <c r="AQ681" s="2"/>
      <c r="AR681" s="16" t="s">
        <v>4092</v>
      </c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</row>
    <row r="682" spans="2:58" ht="17.25" customHeight="1">
      <c r="C682" s="1">
        <v>43962</v>
      </c>
      <c r="E682" s="2" t="s">
        <v>4009</v>
      </c>
      <c r="F682" s="15"/>
      <c r="G682" s="2" t="s">
        <v>4011</v>
      </c>
      <c r="H682" s="2" t="s">
        <v>4010</v>
      </c>
      <c r="I682" s="2"/>
      <c r="J682" s="2">
        <v>1</v>
      </c>
      <c r="K682" s="2" t="s">
        <v>3449</v>
      </c>
      <c r="L682" s="3">
        <v>43.5</v>
      </c>
      <c r="M682" s="3">
        <v>4.3499999999999996</v>
      </c>
      <c r="N682" s="3">
        <v>2.33</v>
      </c>
      <c r="O682" s="3"/>
      <c r="P682" s="3">
        <f>2.72-2.72</f>
        <v>0</v>
      </c>
      <c r="Q682" s="6">
        <f t="shared" si="1514"/>
        <v>36.82</v>
      </c>
      <c r="R682" s="3"/>
      <c r="S682" s="3">
        <v>32.68</v>
      </c>
      <c r="T682" s="3">
        <v>2.04</v>
      </c>
      <c r="U682" s="3"/>
      <c r="V682" s="3"/>
      <c r="W682" s="3"/>
      <c r="X682" s="2">
        <f t="shared" ref="X682" si="1517">+S682+T682++U682+V682-W682</f>
        <v>34.72</v>
      </c>
      <c r="Y682" s="6">
        <f t="shared" ref="Y682" si="1518">+Q682-X682</f>
        <v>2.1000000000000014</v>
      </c>
      <c r="Z682" s="2"/>
      <c r="AA682" s="2"/>
      <c r="AB682" s="2"/>
      <c r="AC682" s="3"/>
      <c r="AD682" s="2"/>
      <c r="AE682" s="2"/>
      <c r="AF682" s="2"/>
      <c r="AG682" s="2"/>
      <c r="AH682" s="2" t="s">
        <v>4067</v>
      </c>
      <c r="AI682" s="2" t="s">
        <v>4066</v>
      </c>
      <c r="AJ682" s="2"/>
      <c r="AK682" s="2"/>
      <c r="AL682" s="2" t="s">
        <v>2922</v>
      </c>
      <c r="AM682" s="16" t="s">
        <v>4352</v>
      </c>
      <c r="AN682" s="2"/>
      <c r="AO682" s="2" t="s">
        <v>4312</v>
      </c>
      <c r="AP682" s="2"/>
      <c r="AQ682" s="2"/>
      <c r="AR682" s="16" t="s">
        <v>4313</v>
      </c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</row>
    <row r="683" spans="2:58" ht="17.25" customHeight="1">
      <c r="C683" s="1">
        <v>43962</v>
      </c>
      <c r="E683" s="2" t="s">
        <v>3562</v>
      </c>
      <c r="F683" s="15"/>
      <c r="G683" s="2" t="s">
        <v>4014</v>
      </c>
      <c r="H683" s="2" t="s">
        <v>4214</v>
      </c>
      <c r="I683" s="2"/>
      <c r="J683" s="2">
        <v>0</v>
      </c>
      <c r="K683" s="2" t="s">
        <v>3449</v>
      </c>
      <c r="L683" s="3">
        <v>0</v>
      </c>
      <c r="M683" s="3">
        <v>0</v>
      </c>
      <c r="N683" s="3">
        <v>0</v>
      </c>
      <c r="O683" s="3"/>
      <c r="P683" s="3">
        <f>2.55-2.55</f>
        <v>0</v>
      </c>
      <c r="Q683" s="6">
        <f t="shared" ref="Q683" si="1519">+L683-M683-N683+P683</f>
        <v>0</v>
      </c>
      <c r="R683" s="3"/>
      <c r="S683" s="3">
        <v>0</v>
      </c>
      <c r="T683" s="3">
        <v>0</v>
      </c>
      <c r="U683" s="3">
        <v>0</v>
      </c>
      <c r="V683" s="3"/>
      <c r="W683" s="3"/>
      <c r="X683" s="2">
        <f t="shared" ref="X683" si="1520">+S683+T683++U683+V683-W683</f>
        <v>0</v>
      </c>
      <c r="Y683" s="6">
        <f t="shared" ref="Y683" si="1521">+Q683-X683</f>
        <v>0</v>
      </c>
      <c r="Z683" s="2"/>
      <c r="AA683" s="2"/>
      <c r="AB683" s="2"/>
      <c r="AC683" s="3"/>
      <c r="AD683" s="2"/>
      <c r="AE683" s="2"/>
      <c r="AF683" s="2"/>
      <c r="AG683" s="2"/>
      <c r="AH683" s="2" t="s">
        <v>4028</v>
      </c>
      <c r="AI683" s="2" t="s">
        <v>4027</v>
      </c>
      <c r="AJ683" s="2"/>
      <c r="AK683" s="2"/>
      <c r="AL683" s="2"/>
      <c r="AM683" s="5" t="s">
        <v>4410</v>
      </c>
      <c r="AN683" s="2"/>
      <c r="AO683" s="5" t="s">
        <v>4410</v>
      </c>
      <c r="AP683" s="2"/>
      <c r="AQ683" s="2"/>
      <c r="AR683" s="2" t="s">
        <v>2887</v>
      </c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</row>
    <row r="684" spans="2:58" ht="17.25" customHeight="1">
      <c r="C684" s="1">
        <v>43962</v>
      </c>
      <c r="E684" s="2" t="s">
        <v>3562</v>
      </c>
      <c r="F684" s="15"/>
      <c r="G684" s="2" t="s">
        <v>4013</v>
      </c>
      <c r="H684" s="2" t="s">
        <v>4012</v>
      </c>
      <c r="I684" s="2"/>
      <c r="J684" s="2">
        <v>1</v>
      </c>
      <c r="K684" s="2" t="s">
        <v>3449</v>
      </c>
      <c r="L684" s="3">
        <v>30.95</v>
      </c>
      <c r="M684" s="3">
        <v>3.09</v>
      </c>
      <c r="N684" s="3">
        <v>1.76</v>
      </c>
      <c r="O684" s="3"/>
      <c r="P684" s="3">
        <f>2.55-2.55</f>
        <v>0</v>
      </c>
      <c r="Q684" s="6">
        <f t="shared" ref="Q684" si="1522">+L684-M684-N684+P684</f>
        <v>26.099999999999998</v>
      </c>
      <c r="R684" s="3"/>
      <c r="S684" s="3">
        <v>14.9</v>
      </c>
      <c r="T684" s="3">
        <v>1.19</v>
      </c>
      <c r="U684" s="3">
        <v>4.99</v>
      </c>
      <c r="V684" s="3"/>
      <c r="W684" s="3"/>
      <c r="X684" s="2">
        <f t="shared" ref="X684" si="1523">+S684+T684++U684+V684-W684</f>
        <v>21.08</v>
      </c>
      <c r="Y684" s="6">
        <f t="shared" ref="Y684" si="1524">+Q684-X684</f>
        <v>5.0199999999999996</v>
      </c>
      <c r="Z684" s="2"/>
      <c r="AA684" s="2"/>
      <c r="AB684" s="2"/>
      <c r="AC684" s="3"/>
      <c r="AD684" s="2"/>
      <c r="AE684" s="2"/>
      <c r="AF684" s="2"/>
      <c r="AG684" s="2"/>
      <c r="AH684" s="2" t="s">
        <v>4028</v>
      </c>
      <c r="AI684" s="2" t="s">
        <v>4027</v>
      </c>
      <c r="AJ684" s="2"/>
      <c r="AK684" s="2"/>
      <c r="AL684" s="2" t="s">
        <v>3071</v>
      </c>
      <c r="AM684" s="16" t="s">
        <v>4150</v>
      </c>
      <c r="AN684" s="2"/>
      <c r="AO684" s="2" t="s">
        <v>4094</v>
      </c>
      <c r="AP684" s="2" t="s">
        <v>3519</v>
      </c>
      <c r="AQ684" s="2"/>
      <c r="AR684" s="16" t="s">
        <v>4095</v>
      </c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</row>
    <row r="685" spans="2:58" ht="17.25" customHeight="1">
      <c r="C685" s="1">
        <v>43962</v>
      </c>
      <c r="E685" s="2" t="s">
        <v>3178</v>
      </c>
      <c r="F685" s="15"/>
      <c r="G685" s="2" t="s">
        <v>4008</v>
      </c>
      <c r="H685" s="2" t="s">
        <v>4007</v>
      </c>
      <c r="I685" s="2"/>
      <c r="J685" s="2">
        <v>1</v>
      </c>
      <c r="K685" s="2" t="s">
        <v>3449</v>
      </c>
      <c r="L685" s="3">
        <v>83.5</v>
      </c>
      <c r="M685" s="3">
        <v>8.35</v>
      </c>
      <c r="N685" s="3">
        <v>4.2300000000000004</v>
      </c>
      <c r="O685" s="3">
        <v>0</v>
      </c>
      <c r="P685" s="3">
        <f>5.85-5.85</f>
        <v>0</v>
      </c>
      <c r="Q685" s="6">
        <f t="shared" ref="Q685" si="1525">+L685-M685-N685+P685</f>
        <v>70.92</v>
      </c>
      <c r="R685" s="3"/>
      <c r="S685" s="3">
        <v>65.19</v>
      </c>
      <c r="T685" s="3">
        <v>6.65</v>
      </c>
      <c r="U685" s="3"/>
      <c r="V685" s="3"/>
      <c r="W685" s="3">
        <f>6.51+0.66</f>
        <v>7.17</v>
      </c>
      <c r="X685" s="2">
        <f t="shared" ref="X685" si="1526">+S685+T685++U685+V685-W685</f>
        <v>64.67</v>
      </c>
      <c r="Y685" s="6">
        <f t="shared" ref="Y685" si="1527">+Q685-X685</f>
        <v>6.25</v>
      </c>
      <c r="Z685" s="2"/>
      <c r="AA685" s="2"/>
      <c r="AB685" s="2"/>
      <c r="AC685" s="3"/>
      <c r="AD685" s="2"/>
      <c r="AE685" s="2"/>
      <c r="AF685" s="2"/>
      <c r="AG685" s="2"/>
      <c r="AH685" s="2" t="s">
        <v>4192</v>
      </c>
      <c r="AI685" s="2" t="s">
        <v>4191</v>
      </c>
      <c r="AJ685" s="2"/>
      <c r="AK685" s="2"/>
      <c r="AL685" s="2" t="s">
        <v>3071</v>
      </c>
      <c r="AM685" s="16" t="s">
        <v>4405</v>
      </c>
      <c r="AN685" s="2">
        <v>1</v>
      </c>
      <c r="AO685" s="2" t="s">
        <v>4406</v>
      </c>
      <c r="AP685" s="2" t="s">
        <v>3696</v>
      </c>
      <c r="AQ685" s="2"/>
      <c r="AR685" s="16" t="s">
        <v>4395</v>
      </c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</row>
    <row r="686" spans="2:58" ht="17.25" customHeight="1">
      <c r="C686" s="1">
        <v>43962</v>
      </c>
      <c r="E686" s="2" t="s">
        <v>3179</v>
      </c>
      <c r="F686" s="15"/>
      <c r="G686" s="2" t="s">
        <v>3984</v>
      </c>
      <c r="H686" s="2" t="s">
        <v>3983</v>
      </c>
      <c r="I686" s="2"/>
      <c r="J686" s="2">
        <v>1</v>
      </c>
      <c r="K686" s="2" t="s">
        <v>3449</v>
      </c>
      <c r="L686" s="3">
        <v>18.95</v>
      </c>
      <c r="M686" s="3">
        <v>1.89</v>
      </c>
      <c r="N686" s="3">
        <v>1.18</v>
      </c>
      <c r="O686" s="3"/>
      <c r="P686" s="3"/>
      <c r="Q686" s="6">
        <f t="shared" ref="Q686" si="1528">+L686-M686-N686+P686</f>
        <v>15.879999999999999</v>
      </c>
      <c r="R686" s="3"/>
      <c r="S686" s="3">
        <v>12.33</v>
      </c>
      <c r="T686" s="3">
        <v>0.74</v>
      </c>
      <c r="U686" s="3"/>
      <c r="V686" s="3"/>
      <c r="W686" s="3"/>
      <c r="X686" s="2">
        <f t="shared" ref="X686" si="1529">+S686+T686++U686+V686-W686</f>
        <v>13.07</v>
      </c>
      <c r="Y686" s="6">
        <f t="shared" ref="Y686" si="1530">+Q686-X686</f>
        <v>2.8099999999999987</v>
      </c>
      <c r="Z686" s="6">
        <f>SUM(Y673:Y686)</f>
        <v>66.830000000000013</v>
      </c>
      <c r="AA686" s="2"/>
      <c r="AB686" s="2"/>
      <c r="AC686" s="3"/>
      <c r="AD686" s="2"/>
      <c r="AE686" s="2"/>
      <c r="AF686" s="2"/>
      <c r="AG686" s="2"/>
      <c r="AH686" s="2" t="s">
        <v>3986</v>
      </c>
      <c r="AI686" s="2" t="s">
        <v>3985</v>
      </c>
      <c r="AJ686" s="2"/>
      <c r="AK686" s="2"/>
      <c r="AL686" s="2" t="s">
        <v>3224</v>
      </c>
      <c r="AM686" s="2" t="s">
        <v>4136</v>
      </c>
      <c r="AN686" s="2"/>
      <c r="AO686" s="2" t="s">
        <v>3987</v>
      </c>
      <c r="AP686" s="2" t="s">
        <v>3765</v>
      </c>
      <c r="AQ686" s="2"/>
      <c r="AR686" s="16" t="s">
        <v>3739</v>
      </c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</row>
    <row r="687" spans="2:58" ht="17.25" customHeight="1">
      <c r="C687" s="1">
        <v>43961</v>
      </c>
      <c r="E687" s="2" t="s">
        <v>3562</v>
      </c>
      <c r="F687" s="15"/>
      <c r="G687" s="2" t="s">
        <v>3953</v>
      </c>
      <c r="H687" s="2" t="s">
        <v>3952</v>
      </c>
      <c r="I687" s="2"/>
      <c r="J687" s="2">
        <v>1</v>
      </c>
      <c r="K687" s="2" t="s">
        <v>3449</v>
      </c>
      <c r="L687" s="3">
        <v>30.95</v>
      </c>
      <c r="M687" s="3">
        <v>3.09</v>
      </c>
      <c r="N687" s="3">
        <v>1.76</v>
      </c>
      <c r="O687" s="3"/>
      <c r="P687" s="3">
        <f>2.55-2.55</f>
        <v>0</v>
      </c>
      <c r="Q687" s="6">
        <f t="shared" ref="Q687" si="1531">+L687-M687-N687+P687</f>
        <v>26.099999999999998</v>
      </c>
      <c r="R687" s="3"/>
      <c r="S687" s="3">
        <v>14.9</v>
      </c>
      <c r="T687" s="3">
        <v>1.64</v>
      </c>
      <c r="U687" s="3">
        <v>4.99</v>
      </c>
      <c r="V687" s="3"/>
      <c r="W687" s="3"/>
      <c r="X687" s="2">
        <f t="shared" ref="X687" si="1532">+S687+T687++U687+V687-W687</f>
        <v>21.53</v>
      </c>
      <c r="Y687" s="6">
        <f t="shared" ref="Y687" si="1533">+Q687-X687</f>
        <v>4.5699999999999967</v>
      </c>
      <c r="Z687" s="2"/>
      <c r="AA687" s="2"/>
      <c r="AB687" s="2"/>
      <c r="AC687" s="3"/>
      <c r="AD687" s="2"/>
      <c r="AE687" s="2"/>
      <c r="AF687" s="2"/>
      <c r="AG687" s="2"/>
      <c r="AH687" s="2" t="s">
        <v>3965</v>
      </c>
      <c r="AI687" s="2" t="s">
        <v>3964</v>
      </c>
      <c r="AJ687" s="2"/>
      <c r="AK687" s="2"/>
      <c r="AL687" s="2" t="s">
        <v>3071</v>
      </c>
      <c r="AM687" s="16" t="s">
        <v>4052</v>
      </c>
      <c r="AN687" s="2"/>
      <c r="AO687" s="2" t="s">
        <v>4051</v>
      </c>
      <c r="AP687" s="2" t="s">
        <v>3519</v>
      </c>
      <c r="AQ687" s="2"/>
      <c r="AR687" s="16" t="s">
        <v>3998</v>
      </c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</row>
    <row r="688" spans="2:58" ht="17.25" customHeight="1">
      <c r="C688" s="1">
        <v>43961</v>
      </c>
      <c r="E688" s="2" t="s">
        <v>3562</v>
      </c>
      <c r="F688" s="15"/>
      <c r="G688" s="2" t="s">
        <v>3955</v>
      </c>
      <c r="H688" s="2" t="s">
        <v>3954</v>
      </c>
      <c r="I688" s="2"/>
      <c r="J688" s="2">
        <v>1</v>
      </c>
      <c r="K688" s="2"/>
      <c r="L688" s="3">
        <v>30.95</v>
      </c>
      <c r="M688" s="3">
        <v>3.09</v>
      </c>
      <c r="N688" s="3">
        <v>1.77</v>
      </c>
      <c r="O688" s="3"/>
      <c r="P688" s="3">
        <f>2.51-2.51</f>
        <v>0</v>
      </c>
      <c r="Q688" s="6">
        <f t="shared" ref="Q688:Q689" si="1534">+L688-M688-N688+P688</f>
        <v>26.09</v>
      </c>
      <c r="R688" s="3"/>
      <c r="S688" s="3">
        <v>14.9</v>
      </c>
      <c r="T688" s="3">
        <v>1.62</v>
      </c>
      <c r="U688" s="3">
        <v>4.99</v>
      </c>
      <c r="V688" s="3"/>
      <c r="W688" s="3"/>
      <c r="X688" s="2">
        <f t="shared" ref="X688:X689" si="1535">+S688+T688++U688+V688-W688</f>
        <v>21.509999999999998</v>
      </c>
      <c r="Y688" s="6">
        <f t="shared" ref="Y688:Y689" si="1536">+Q688-X688</f>
        <v>4.5800000000000018</v>
      </c>
      <c r="Z688" s="2"/>
      <c r="AA688" s="2"/>
      <c r="AB688" s="2"/>
      <c r="AC688" s="3"/>
      <c r="AD688" s="2"/>
      <c r="AE688" s="2"/>
      <c r="AF688" s="2"/>
      <c r="AG688" s="2"/>
      <c r="AH688" s="2" t="s">
        <v>3967</v>
      </c>
      <c r="AI688" s="2" t="s">
        <v>3966</v>
      </c>
      <c r="AJ688" s="2"/>
      <c r="AK688" s="2"/>
      <c r="AL688" s="2" t="s">
        <v>3071</v>
      </c>
      <c r="AM688" s="16" t="s">
        <v>4083</v>
      </c>
      <c r="AN688" s="2"/>
      <c r="AO688" s="2" t="s">
        <v>4006</v>
      </c>
      <c r="AP688" s="2" t="s">
        <v>3519</v>
      </c>
      <c r="AQ688" s="2"/>
      <c r="AR688" s="16" t="s">
        <v>3998</v>
      </c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</row>
    <row r="689" spans="3:58" ht="17.25" customHeight="1">
      <c r="C689" s="1">
        <v>43961</v>
      </c>
      <c r="E689" s="2" t="s">
        <v>2289</v>
      </c>
      <c r="F689" s="15"/>
      <c r="G689" s="2" t="s">
        <v>3956</v>
      </c>
      <c r="H689" s="2" t="s">
        <v>4403</v>
      </c>
      <c r="I689" s="2"/>
      <c r="J689" s="2">
        <v>1</v>
      </c>
      <c r="K689" s="2"/>
      <c r="L689" s="3">
        <v>39.5</v>
      </c>
      <c r="M689" s="3">
        <v>3.95</v>
      </c>
      <c r="N689" s="3">
        <v>2.1800000000000002</v>
      </c>
      <c r="O689" s="3"/>
      <c r="P689" s="3">
        <f>3.26-3.26</f>
        <v>0</v>
      </c>
      <c r="Q689" s="6">
        <f t="shared" si="1534"/>
        <v>33.369999999999997</v>
      </c>
      <c r="R689" s="3"/>
      <c r="S689" s="3">
        <v>16.46</v>
      </c>
      <c r="T689" s="3">
        <v>1.36</v>
      </c>
      <c r="U689" s="3"/>
      <c r="V689" s="3"/>
      <c r="W689" s="3"/>
      <c r="X689" s="2">
        <f t="shared" si="1535"/>
        <v>17.82</v>
      </c>
      <c r="Y689" s="6">
        <f t="shared" si="1536"/>
        <v>15.549999999999997</v>
      </c>
      <c r="Z689" s="2"/>
      <c r="AA689" s="2"/>
      <c r="AB689" s="2"/>
      <c r="AC689" s="3"/>
      <c r="AD689" s="2"/>
      <c r="AE689" s="2"/>
      <c r="AF689" s="2"/>
      <c r="AG689" s="2"/>
      <c r="AH689" s="2" t="s">
        <v>3969</v>
      </c>
      <c r="AI689" s="2" t="s">
        <v>3968</v>
      </c>
      <c r="AJ689" s="2"/>
      <c r="AK689" s="2"/>
      <c r="AL689" s="2"/>
      <c r="AM689" s="5" t="s">
        <v>3256</v>
      </c>
      <c r="AN689" s="2"/>
      <c r="AO689" s="2" t="s">
        <v>4118</v>
      </c>
      <c r="AP689" s="2" t="s">
        <v>4119</v>
      </c>
      <c r="AQ689" s="2"/>
      <c r="AR689" s="16" t="s">
        <v>4092</v>
      </c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</row>
    <row r="690" spans="3:58" ht="17.25" customHeight="1">
      <c r="C690" s="1">
        <v>43961</v>
      </c>
      <c r="E690" s="2" t="s">
        <v>3562</v>
      </c>
      <c r="F690" s="15"/>
      <c r="G690" s="2" t="s">
        <v>3958</v>
      </c>
      <c r="H690" s="2" t="s">
        <v>3957</v>
      </c>
      <c r="I690" s="2"/>
      <c r="J690" s="2">
        <v>1</v>
      </c>
      <c r="K690" s="2"/>
      <c r="L690" s="3">
        <v>30.95</v>
      </c>
      <c r="M690" s="3">
        <v>3.09</v>
      </c>
      <c r="N690" s="3">
        <v>1.73</v>
      </c>
      <c r="O690" s="3"/>
      <c r="P690" s="3">
        <f>1.64-1.64</f>
        <v>0</v>
      </c>
      <c r="Q690" s="6">
        <f t="shared" ref="Q690:Q692" si="1537">+L690-M690-N690+P690</f>
        <v>26.13</v>
      </c>
      <c r="R690" s="3"/>
      <c r="S690" s="3">
        <v>14.9</v>
      </c>
      <c r="T690" s="3">
        <v>1.05</v>
      </c>
      <c r="U690" s="3">
        <v>4.99</v>
      </c>
      <c r="V690" s="3"/>
      <c r="W690" s="3"/>
      <c r="X690" s="2">
        <f t="shared" ref="X690" si="1538">+S690+T690++U690+V690-W690</f>
        <v>20.94</v>
      </c>
      <c r="Y690" s="6">
        <f t="shared" ref="Y690" si="1539">+Q690-X690</f>
        <v>5.1899999999999977</v>
      </c>
      <c r="Z690" s="2"/>
      <c r="AA690" s="2"/>
      <c r="AB690" s="2"/>
      <c r="AC690" s="3"/>
      <c r="AD690" s="2"/>
      <c r="AE690" s="2"/>
      <c r="AF690" s="2"/>
      <c r="AG690" s="2"/>
      <c r="AH690" s="2" t="s">
        <v>3967</v>
      </c>
      <c r="AI690" s="2" t="s">
        <v>3966</v>
      </c>
      <c r="AJ690" s="2"/>
      <c r="AK690" s="2"/>
      <c r="AL690" s="2" t="s">
        <v>3071</v>
      </c>
      <c r="AM690" s="16" t="s">
        <v>4084</v>
      </c>
      <c r="AN690" s="2"/>
      <c r="AO690" s="2" t="s">
        <v>4005</v>
      </c>
      <c r="AP690" s="2" t="s">
        <v>3519</v>
      </c>
      <c r="AQ690" s="2"/>
      <c r="AR690" s="16" t="s">
        <v>3998</v>
      </c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</row>
    <row r="691" spans="3:58" ht="17.25" customHeight="1">
      <c r="C691" s="1">
        <v>43961</v>
      </c>
      <c r="E691" s="2" t="s">
        <v>1646</v>
      </c>
      <c r="F691" s="15"/>
      <c r="G691" s="2" t="s">
        <v>3960</v>
      </c>
      <c r="H691" s="2" t="s">
        <v>3959</v>
      </c>
      <c r="I691" s="2"/>
      <c r="J691" s="2">
        <v>1</v>
      </c>
      <c r="K691" s="2"/>
      <c r="L691" s="3">
        <v>29.75</v>
      </c>
      <c r="M691" s="3">
        <v>2.97</v>
      </c>
      <c r="N691" s="3">
        <v>1.68</v>
      </c>
      <c r="O691" s="3"/>
      <c r="P691" s="3">
        <f>1.67-1.67</f>
        <v>0</v>
      </c>
      <c r="Q691" s="6">
        <f t="shared" si="1537"/>
        <v>25.1</v>
      </c>
      <c r="R691" s="3"/>
      <c r="S691" s="3">
        <v>19.989999999999998</v>
      </c>
      <c r="T691" s="3">
        <v>1.86</v>
      </c>
      <c r="U691" s="3"/>
      <c r="V691" s="3"/>
      <c r="W691" s="3"/>
      <c r="X691" s="2">
        <f t="shared" ref="X691:X692" si="1540">+S691+T691++U691+V691-W691</f>
        <v>21.849999999999998</v>
      </c>
      <c r="Y691" s="6">
        <f t="shared" ref="Y691:Y692" si="1541">+Q691-X691</f>
        <v>3.2500000000000036</v>
      </c>
      <c r="Z691" s="2"/>
      <c r="AA691" s="2"/>
      <c r="AB691" s="2"/>
      <c r="AC691" s="3"/>
      <c r="AD691" s="2"/>
      <c r="AE691" s="2"/>
      <c r="AF691" s="2"/>
      <c r="AG691" s="2"/>
      <c r="AH691" s="2" t="s">
        <v>3973</v>
      </c>
      <c r="AI691" s="2" t="s">
        <v>3972</v>
      </c>
      <c r="AJ691" s="2"/>
      <c r="AK691" s="2"/>
      <c r="AL691" s="2" t="s">
        <v>4228</v>
      </c>
      <c r="AM691" s="16" t="s">
        <v>4402</v>
      </c>
      <c r="AN691" s="2"/>
      <c r="AO691" s="2" t="s">
        <v>4216</v>
      </c>
      <c r="AP691" s="2" t="s">
        <v>4218</v>
      </c>
      <c r="AQ691" s="2"/>
      <c r="AR691" s="16" t="s">
        <v>4217</v>
      </c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</row>
    <row r="692" spans="3:58" ht="17.25" customHeight="1">
      <c r="C692" s="1">
        <v>43961</v>
      </c>
      <c r="E692" s="2" t="s">
        <v>3178</v>
      </c>
      <c r="F692" s="2"/>
      <c r="G692" s="2" t="s">
        <v>3962</v>
      </c>
      <c r="H692" s="2" t="s">
        <v>3961</v>
      </c>
      <c r="I692" s="2"/>
      <c r="J692" s="2">
        <v>1</v>
      </c>
      <c r="K692" s="2" t="s">
        <v>3449</v>
      </c>
      <c r="L692" s="3">
        <v>83.5</v>
      </c>
      <c r="M692" s="3">
        <v>8.35</v>
      </c>
      <c r="N692" s="3">
        <v>4.2300000000000004</v>
      </c>
      <c r="O692" s="3">
        <v>0</v>
      </c>
      <c r="P692" s="3">
        <f>5.85-5.85</f>
        <v>0</v>
      </c>
      <c r="Q692" s="6">
        <f t="shared" si="1537"/>
        <v>70.92</v>
      </c>
      <c r="R692" s="3"/>
      <c r="S692" s="3">
        <v>65.19</v>
      </c>
      <c r="T692" s="3">
        <v>4.57</v>
      </c>
      <c r="U692" s="3"/>
      <c r="V692" s="3"/>
      <c r="W692" s="3">
        <f>6.51+0.45</f>
        <v>6.96</v>
      </c>
      <c r="X692" s="2">
        <f t="shared" si="1540"/>
        <v>62.79999999999999</v>
      </c>
      <c r="Y692" s="6">
        <f t="shared" si="1541"/>
        <v>8.1200000000000117</v>
      </c>
      <c r="Z692" s="2"/>
      <c r="AA692" s="2"/>
      <c r="AB692" s="2"/>
      <c r="AC692" s="3"/>
      <c r="AD692" s="2"/>
      <c r="AE692" s="2"/>
      <c r="AF692" s="2"/>
      <c r="AG692" s="2"/>
      <c r="AH692" s="2" t="s">
        <v>3877</v>
      </c>
      <c r="AI692" s="2" t="s">
        <v>3876</v>
      </c>
      <c r="AJ692" s="2"/>
      <c r="AK692" s="2"/>
      <c r="AL692" s="2" t="s">
        <v>2926</v>
      </c>
      <c r="AM692" s="16" t="s">
        <v>4354</v>
      </c>
      <c r="AN692" s="2">
        <v>1</v>
      </c>
      <c r="AO692" s="2" t="s">
        <v>4355</v>
      </c>
      <c r="AP692" s="2" t="s">
        <v>3696</v>
      </c>
      <c r="AQ692" s="2"/>
      <c r="AR692" s="16" t="s">
        <v>4356</v>
      </c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</row>
    <row r="693" spans="3:58" ht="17.25" customHeight="1">
      <c r="C693" s="1">
        <v>43961</v>
      </c>
      <c r="E693" s="2" t="s">
        <v>2289</v>
      </c>
      <c r="F693" s="2"/>
      <c r="G693" s="2" t="s">
        <v>3926</v>
      </c>
      <c r="H693" s="2" t="s">
        <v>3925</v>
      </c>
      <c r="I693" s="2"/>
      <c r="J693" s="2">
        <v>0</v>
      </c>
      <c r="K693" s="2"/>
      <c r="L693" s="3">
        <v>0</v>
      </c>
      <c r="M693" s="3">
        <v>0</v>
      </c>
      <c r="N693" s="3">
        <v>0</v>
      </c>
      <c r="O693" s="3"/>
      <c r="P693" s="3">
        <f>2.21-2.21</f>
        <v>0</v>
      </c>
      <c r="Q693" s="6">
        <f t="shared" ref="Q693:Q695" si="1542">+L693-M693-N693+P693</f>
        <v>0</v>
      </c>
      <c r="R693" s="3"/>
      <c r="S693" s="3">
        <v>0</v>
      </c>
      <c r="T693" s="3">
        <v>0</v>
      </c>
      <c r="U693" s="3"/>
      <c r="V693" s="3"/>
      <c r="W693" s="3"/>
      <c r="X693" s="2">
        <f t="shared" ref="X693:X694" si="1543">+S693+T693++U693+V693-W693</f>
        <v>0</v>
      </c>
      <c r="Y693" s="6">
        <f t="shared" ref="Y693:Y694" si="1544">+Q693-X693</f>
        <v>0</v>
      </c>
      <c r="Z693" s="2"/>
      <c r="AA693" s="2"/>
      <c r="AB693" s="2"/>
      <c r="AC693" s="3"/>
      <c r="AD693" s="2"/>
      <c r="AE693" s="2"/>
      <c r="AF693" s="2"/>
      <c r="AG693" s="2"/>
      <c r="AH693" s="2" t="s">
        <v>3971</v>
      </c>
      <c r="AI693" s="2" t="s">
        <v>3970</v>
      </c>
      <c r="AJ693" s="2"/>
      <c r="AK693" s="2"/>
      <c r="AL693" s="2"/>
      <c r="AM693" s="5" t="s">
        <v>3256</v>
      </c>
      <c r="AN693" s="2"/>
      <c r="AO693" s="2" t="s">
        <v>4120</v>
      </c>
      <c r="AP693" s="2" t="s">
        <v>4119</v>
      </c>
      <c r="AQ693" s="2"/>
      <c r="AR693" s="16" t="s">
        <v>4092</v>
      </c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</row>
    <row r="694" spans="3:58" ht="17.25" customHeight="1">
      <c r="C694" s="1">
        <v>43961</v>
      </c>
      <c r="E694" s="2" t="s">
        <v>2979</v>
      </c>
      <c r="F694" s="2"/>
      <c r="G694" s="2" t="s">
        <v>3909</v>
      </c>
      <c r="H694" s="2" t="s">
        <v>4654</v>
      </c>
      <c r="I694" s="2"/>
      <c r="J694" s="2">
        <v>1</v>
      </c>
      <c r="K694" s="2"/>
      <c r="L694" s="3">
        <v>60.35</v>
      </c>
      <c r="M694" s="3">
        <v>6.03</v>
      </c>
      <c r="N694" s="3">
        <v>2.96</v>
      </c>
      <c r="O694" s="3"/>
      <c r="P694" s="3"/>
      <c r="Q694" s="6">
        <f t="shared" ref="Q694" si="1545">+L694-M694-N694+P694</f>
        <v>51.36</v>
      </c>
      <c r="R694" s="3"/>
      <c r="S694" s="3">
        <v>38.270000000000003</v>
      </c>
      <c r="T694" s="3">
        <v>4.4000000000000004</v>
      </c>
      <c r="U694" s="3"/>
      <c r="V694" s="3"/>
      <c r="W694" s="3"/>
      <c r="X694" s="2">
        <f t="shared" si="1543"/>
        <v>42.67</v>
      </c>
      <c r="Y694" s="6">
        <f t="shared" si="1544"/>
        <v>8.6899999999999977</v>
      </c>
      <c r="Z694" s="2"/>
      <c r="AA694" s="2"/>
      <c r="AB694" s="2"/>
      <c r="AC694" s="3"/>
      <c r="AD694" s="2"/>
      <c r="AE694" s="2"/>
      <c r="AF694" s="2"/>
      <c r="AG694" s="2"/>
      <c r="AH694" s="2" t="s">
        <v>3981</v>
      </c>
      <c r="AI694" s="2" t="s">
        <v>3980</v>
      </c>
      <c r="AJ694" s="2"/>
      <c r="AK694" s="2"/>
      <c r="AL694" s="5" t="s">
        <v>16</v>
      </c>
      <c r="AM694" s="5" t="s">
        <v>493</v>
      </c>
      <c r="AN694" s="2"/>
      <c r="AO694" s="2" t="s">
        <v>3979</v>
      </c>
      <c r="AP694" s="2" t="s">
        <v>3685</v>
      </c>
      <c r="AQ694" s="2"/>
      <c r="AR694" s="16" t="s">
        <v>3543</v>
      </c>
      <c r="AS694" s="2" t="s">
        <v>4653</v>
      </c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</row>
    <row r="695" spans="3:58" ht="17.25" customHeight="1">
      <c r="C695" s="1">
        <v>43961</v>
      </c>
      <c r="E695" s="2" t="s">
        <v>2979</v>
      </c>
      <c r="F695" s="2"/>
      <c r="G695" s="2" t="s">
        <v>4163</v>
      </c>
      <c r="H695" s="2" t="s">
        <v>5919</v>
      </c>
      <c r="I695" s="2"/>
      <c r="J695" s="2">
        <v>1</v>
      </c>
      <c r="K695" s="2" t="s">
        <v>3449</v>
      </c>
      <c r="L695" s="3">
        <v>60.35</v>
      </c>
      <c r="M695" s="3">
        <v>6.03</v>
      </c>
      <c r="N695" s="3">
        <v>2.96</v>
      </c>
      <c r="O695" s="3"/>
      <c r="P695" s="3"/>
      <c r="Q695" s="6">
        <f t="shared" si="1542"/>
        <v>51.36</v>
      </c>
      <c r="R695" s="3"/>
      <c r="S695" s="3">
        <v>38.270000000000003</v>
      </c>
      <c r="T695" s="3">
        <v>4.4000000000000004</v>
      </c>
      <c r="U695" s="3"/>
      <c r="V695" s="3"/>
      <c r="W695" s="3"/>
      <c r="X695" s="2">
        <f t="shared" ref="X695" si="1546">+S695+T695++U695+V695-W695</f>
        <v>42.67</v>
      </c>
      <c r="Y695" s="6">
        <f t="shared" ref="Y695" si="1547">+Q695-X695</f>
        <v>8.6899999999999977</v>
      </c>
      <c r="Z695" s="6">
        <f>SUM(Y687:Y695)</f>
        <v>58.640000000000008</v>
      </c>
      <c r="AA695" s="2"/>
      <c r="AB695" s="2"/>
      <c r="AC695" s="3"/>
      <c r="AD695" s="2"/>
      <c r="AE695" s="2"/>
      <c r="AF695" s="2"/>
      <c r="AG695" s="2"/>
      <c r="AH695" s="2" t="s">
        <v>3978</v>
      </c>
      <c r="AI695" s="2" t="s">
        <v>3977</v>
      </c>
      <c r="AJ695" s="2"/>
      <c r="AK695" s="2"/>
      <c r="AL695" s="2" t="s">
        <v>2926</v>
      </c>
      <c r="AM695" s="16" t="s">
        <v>5918</v>
      </c>
      <c r="AN695" s="2"/>
      <c r="AO695" s="2" t="s">
        <v>3976</v>
      </c>
      <c r="AP695" s="2" t="s">
        <v>3685</v>
      </c>
      <c r="AQ695" s="2"/>
      <c r="AR695" s="16" t="s">
        <v>3543</v>
      </c>
      <c r="AS695" s="2" t="s">
        <v>4653</v>
      </c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</row>
    <row r="696" spans="3:58" ht="17.25" customHeight="1">
      <c r="C696" s="1">
        <v>43960</v>
      </c>
      <c r="E696" s="2" t="s">
        <v>3178</v>
      </c>
      <c r="F696" s="2"/>
      <c r="G696" s="2" t="s">
        <v>3866</v>
      </c>
      <c r="H696" s="2" t="s">
        <v>3865</v>
      </c>
      <c r="I696" s="2"/>
      <c r="J696" s="2">
        <v>1</v>
      </c>
      <c r="K696" s="2" t="s">
        <v>3449</v>
      </c>
      <c r="L696" s="3">
        <v>83.5</v>
      </c>
      <c r="M696" s="3">
        <v>8.35</v>
      </c>
      <c r="N696" s="3">
        <v>4.28</v>
      </c>
      <c r="O696" s="3">
        <v>0</v>
      </c>
      <c r="P696" s="3">
        <f>6.89-6.89</f>
        <v>0</v>
      </c>
      <c r="Q696" s="6">
        <f t="shared" ref="Q696:Q699" si="1548">+L696-M696-N696+P696</f>
        <v>70.87</v>
      </c>
      <c r="R696" s="3"/>
      <c r="S696" s="3">
        <v>65.19</v>
      </c>
      <c r="T696" s="3">
        <v>5.38</v>
      </c>
      <c r="U696" s="3"/>
      <c r="V696" s="3"/>
      <c r="W696" s="3">
        <f>6.51+0.54</f>
        <v>7.05</v>
      </c>
      <c r="X696" s="2">
        <f t="shared" ref="X696:X697" si="1549">+S696+T696++U696+V696-W696</f>
        <v>63.519999999999996</v>
      </c>
      <c r="Y696" s="6">
        <f t="shared" ref="Y696:Y697" si="1550">+Q696-X696</f>
        <v>7.3500000000000085</v>
      </c>
      <c r="Z696" s="2"/>
      <c r="AA696" s="2"/>
      <c r="AB696" s="2"/>
      <c r="AC696" s="3"/>
      <c r="AD696" s="2"/>
      <c r="AE696" s="2"/>
      <c r="AF696" s="2"/>
      <c r="AG696" s="2"/>
      <c r="AH696" s="2" t="s">
        <v>3877</v>
      </c>
      <c r="AI696" s="2" t="s">
        <v>3876</v>
      </c>
      <c r="AJ696" s="2"/>
      <c r="AK696" s="2"/>
      <c r="AL696" s="2" t="s">
        <v>3071</v>
      </c>
      <c r="AM696" s="22" t="s">
        <v>4203</v>
      </c>
      <c r="AN696" s="2">
        <v>1</v>
      </c>
      <c r="AO696" s="2" t="s">
        <v>4190</v>
      </c>
      <c r="AP696" s="2" t="s">
        <v>3696</v>
      </c>
      <c r="AQ696" s="2"/>
      <c r="AR696" s="16" t="s">
        <v>4423</v>
      </c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</row>
    <row r="697" spans="3:58" ht="17.25" customHeight="1">
      <c r="C697" s="1">
        <v>43960</v>
      </c>
      <c r="E697" s="2" t="s">
        <v>3562</v>
      </c>
      <c r="F697" s="2"/>
      <c r="G697" s="2" t="s">
        <v>3868</v>
      </c>
      <c r="H697" s="2" t="s">
        <v>3867</v>
      </c>
      <c r="I697" s="2"/>
      <c r="J697" s="2">
        <v>1</v>
      </c>
      <c r="K697" s="2" t="s">
        <v>3449</v>
      </c>
      <c r="L697" s="3">
        <v>30.95</v>
      </c>
      <c r="M697" s="3">
        <v>3.09</v>
      </c>
      <c r="N697" s="3">
        <v>1.76</v>
      </c>
      <c r="O697" s="3"/>
      <c r="P697" s="3">
        <v>2.71</v>
      </c>
      <c r="Q697" s="6">
        <f t="shared" si="1548"/>
        <v>28.81</v>
      </c>
      <c r="R697" s="3"/>
      <c r="S697" s="3">
        <v>14.9</v>
      </c>
      <c r="T697" s="3">
        <v>1.39</v>
      </c>
      <c r="U697" s="3">
        <v>4.99</v>
      </c>
      <c r="V697" s="3"/>
      <c r="W697" s="3"/>
      <c r="X697" s="2">
        <f t="shared" si="1549"/>
        <v>21.28</v>
      </c>
      <c r="Y697" s="6">
        <f t="shared" si="1550"/>
        <v>7.5299999999999976</v>
      </c>
      <c r="Z697" s="2"/>
      <c r="AA697" s="2"/>
      <c r="AB697" s="2"/>
      <c r="AC697" s="3"/>
      <c r="AD697" s="2"/>
      <c r="AE697" s="2"/>
      <c r="AF697" s="2"/>
      <c r="AG697" s="2"/>
      <c r="AH697" s="2" t="s">
        <v>3879</v>
      </c>
      <c r="AI697" s="2" t="s">
        <v>3880</v>
      </c>
      <c r="AJ697" s="2"/>
      <c r="AK697" s="2"/>
      <c r="AL697" s="2" t="s">
        <v>3071</v>
      </c>
      <c r="AM697" s="16" t="s">
        <v>4021</v>
      </c>
      <c r="AN697" s="2"/>
      <c r="AO697" s="2" t="s">
        <v>3911</v>
      </c>
      <c r="AP697" s="2" t="s">
        <v>3519</v>
      </c>
      <c r="AQ697" s="2"/>
      <c r="AR697" s="16" t="s">
        <v>3822</v>
      </c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</row>
    <row r="698" spans="3:58" ht="17.25" customHeight="1">
      <c r="C698" s="1">
        <v>43960</v>
      </c>
      <c r="E698" s="2" t="s">
        <v>3179</v>
      </c>
      <c r="F698" s="2"/>
      <c r="G698" s="2" t="s">
        <v>4502</v>
      </c>
      <c r="H698" s="2" t="s">
        <v>3886</v>
      </c>
      <c r="I698" s="2"/>
      <c r="J698" s="2">
        <v>1</v>
      </c>
      <c r="K698" s="2"/>
      <c r="L698" s="3">
        <v>18.95</v>
      </c>
      <c r="M698" s="3">
        <v>1.89</v>
      </c>
      <c r="N698" s="3">
        <v>1.1299999999999999</v>
      </c>
      <c r="O698" s="3"/>
      <c r="P698" s="3"/>
      <c r="Q698" s="6">
        <f t="shared" si="1548"/>
        <v>15.93</v>
      </c>
      <c r="R698" s="3"/>
      <c r="S698" s="3">
        <v>12.33</v>
      </c>
      <c r="T698" s="3"/>
      <c r="U698" s="3"/>
      <c r="V698" s="3"/>
      <c r="W698" s="3"/>
      <c r="X698" s="2">
        <f t="shared" ref="X698:X699" si="1551">+S698+T698++U698+V698-W698</f>
        <v>12.33</v>
      </c>
      <c r="Y698" s="6">
        <f t="shared" ref="Y698:Y699" si="1552">+Q698-X698</f>
        <v>3.5999999999999996</v>
      </c>
      <c r="Z698" s="2"/>
      <c r="AA698" s="2"/>
      <c r="AB698" s="2"/>
      <c r="AC698" s="3"/>
      <c r="AD698" s="2"/>
      <c r="AE698" s="2"/>
      <c r="AF698" s="2"/>
      <c r="AG698" s="2"/>
      <c r="AH698" s="2" t="s">
        <v>3884</v>
      </c>
      <c r="AI698" s="2" t="s">
        <v>3885</v>
      </c>
      <c r="AJ698" s="2"/>
      <c r="AK698" s="2"/>
      <c r="AL698" s="2" t="s">
        <v>2926</v>
      </c>
      <c r="AM698" s="16" t="s">
        <v>4950</v>
      </c>
      <c r="AN698" s="2"/>
      <c r="AO698" s="2" t="s">
        <v>3912</v>
      </c>
      <c r="AP698" s="2" t="s">
        <v>3914</v>
      </c>
      <c r="AQ698" s="2"/>
      <c r="AR698" s="16" t="s">
        <v>3913</v>
      </c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</row>
    <row r="699" spans="3:58" ht="17.25" customHeight="1">
      <c r="C699" s="1">
        <v>43960</v>
      </c>
      <c r="E699" s="2" t="s">
        <v>2979</v>
      </c>
      <c r="F699" s="2"/>
      <c r="G699" s="2" t="s">
        <v>3870</v>
      </c>
      <c r="H699" s="2" t="s">
        <v>3869</v>
      </c>
      <c r="I699" s="2"/>
      <c r="J699" s="2">
        <v>1</v>
      </c>
      <c r="K699" s="2" t="s">
        <v>3581</v>
      </c>
      <c r="L699" s="3">
        <v>60.35</v>
      </c>
      <c r="M699" s="3">
        <v>6.03</v>
      </c>
      <c r="N699" s="3">
        <v>2.96</v>
      </c>
      <c r="O699" s="3"/>
      <c r="P699" s="3">
        <f>3.62-3.62</f>
        <v>0</v>
      </c>
      <c r="Q699" s="6">
        <f t="shared" si="1548"/>
        <v>51.36</v>
      </c>
      <c r="R699" s="3"/>
      <c r="S699" s="3">
        <v>32.99</v>
      </c>
      <c r="T699" s="3">
        <v>0</v>
      </c>
      <c r="U699" s="3">
        <v>4.99</v>
      </c>
      <c r="V699" s="3"/>
      <c r="W699" s="3"/>
      <c r="X699" s="2">
        <f t="shared" si="1551"/>
        <v>37.980000000000004</v>
      </c>
      <c r="Y699" s="6">
        <f t="shared" si="1552"/>
        <v>13.379999999999995</v>
      </c>
      <c r="Z699" s="2"/>
      <c r="AA699" s="2"/>
      <c r="AB699" s="2"/>
      <c r="AC699" s="3"/>
      <c r="AD699" s="2"/>
      <c r="AE699" s="2"/>
      <c r="AF699" s="2"/>
      <c r="AG699" s="2"/>
      <c r="AH699" s="2" t="s">
        <v>3888</v>
      </c>
      <c r="AI699" s="2" t="s">
        <v>3887</v>
      </c>
      <c r="AJ699" s="2"/>
      <c r="AK699" s="2"/>
      <c r="AL699" s="2" t="s">
        <v>3071</v>
      </c>
      <c r="AM699" s="16" t="s">
        <v>4148</v>
      </c>
      <c r="AN699" s="2"/>
      <c r="AO699" s="2" t="s">
        <v>4093</v>
      </c>
      <c r="AP699" s="2" t="s">
        <v>3519</v>
      </c>
      <c r="AQ699" s="2"/>
      <c r="AR699" s="16" t="s">
        <v>4092</v>
      </c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</row>
    <row r="700" spans="3:58" ht="17.25" customHeight="1">
      <c r="C700" s="1">
        <v>43960</v>
      </c>
      <c r="E700" s="2" t="s">
        <v>2979</v>
      </c>
      <c r="F700" s="2"/>
      <c r="G700" s="2" t="s">
        <v>3872</v>
      </c>
      <c r="H700" s="2" t="s">
        <v>3871</v>
      </c>
      <c r="I700" s="2"/>
      <c r="J700" s="2">
        <v>1</v>
      </c>
      <c r="K700" s="2" t="s">
        <v>3449</v>
      </c>
      <c r="L700" s="3">
        <v>60.35</v>
      </c>
      <c r="M700" s="3">
        <v>6.03</v>
      </c>
      <c r="N700" s="3">
        <v>3.16</v>
      </c>
      <c r="O700" s="3"/>
      <c r="P700" s="3">
        <f>3.62-3.62</f>
        <v>0</v>
      </c>
      <c r="Q700" s="6">
        <f t="shared" ref="Q700:Q701" si="1553">+L700-M700-N700+P700</f>
        <v>51.16</v>
      </c>
      <c r="R700" s="3"/>
      <c r="S700" s="3">
        <v>32.99</v>
      </c>
      <c r="T700" s="3">
        <v>2.2799999999999998</v>
      </c>
      <c r="U700" s="3">
        <v>4.99</v>
      </c>
      <c r="V700" s="3"/>
      <c r="W700" s="3"/>
      <c r="X700" s="2">
        <f t="shared" ref="X700:X701" si="1554">+S700+T700++U700+V700-W700</f>
        <v>40.260000000000005</v>
      </c>
      <c r="Y700" s="6">
        <f t="shared" ref="Y700:Y701" si="1555">+Q700-X700</f>
        <v>10.899999999999991</v>
      </c>
      <c r="Z700" s="2"/>
      <c r="AA700" s="2"/>
      <c r="AB700" s="2"/>
      <c r="AC700" s="3"/>
      <c r="AD700" s="2"/>
      <c r="AE700" s="2"/>
      <c r="AF700" s="2"/>
      <c r="AG700" s="2"/>
      <c r="AH700" s="2" t="s">
        <v>3889</v>
      </c>
      <c r="AI700" s="2" t="s">
        <v>3890</v>
      </c>
      <c r="AJ700" s="2"/>
      <c r="AK700" s="2"/>
      <c r="AL700" s="2" t="s">
        <v>3071</v>
      </c>
      <c r="AM700" s="16" t="s">
        <v>4147</v>
      </c>
      <c r="AN700" s="2"/>
      <c r="AO700" s="2" t="s">
        <v>4091</v>
      </c>
      <c r="AP700" s="2" t="s">
        <v>3519</v>
      </c>
      <c r="AQ700" s="2"/>
      <c r="AR700" s="16" t="s">
        <v>4092</v>
      </c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</row>
    <row r="701" spans="3:58" ht="17.25" customHeight="1">
      <c r="C701" s="1">
        <v>43960</v>
      </c>
      <c r="E701" s="2" t="s">
        <v>3864</v>
      </c>
      <c r="F701" s="2"/>
      <c r="G701" s="2" t="s">
        <v>3874</v>
      </c>
      <c r="H701" s="2" t="s">
        <v>3873</v>
      </c>
      <c r="I701" s="2"/>
      <c r="J701" s="2">
        <v>1</v>
      </c>
      <c r="K701" s="2" t="s">
        <v>3449</v>
      </c>
      <c r="L701" s="3">
        <v>31.25</v>
      </c>
      <c r="M701" s="3">
        <v>3.12</v>
      </c>
      <c r="N701" s="3">
        <v>1.77</v>
      </c>
      <c r="O701" s="3"/>
      <c r="P701" s="3">
        <f>2.19-2.19</f>
        <v>0</v>
      </c>
      <c r="Q701" s="6">
        <f t="shared" si="1553"/>
        <v>26.36</v>
      </c>
      <c r="R701" s="3"/>
      <c r="S701" s="3">
        <v>17.989999999999998</v>
      </c>
      <c r="T701" s="3">
        <v>1.26</v>
      </c>
      <c r="U701" s="3">
        <v>0</v>
      </c>
      <c r="V701" s="3"/>
      <c r="W701" s="3">
        <v>0</v>
      </c>
      <c r="X701" s="2">
        <f t="shared" si="1554"/>
        <v>19.25</v>
      </c>
      <c r="Y701" s="6">
        <f t="shared" si="1555"/>
        <v>7.1099999999999994</v>
      </c>
      <c r="Z701" s="2"/>
      <c r="AA701" s="2"/>
      <c r="AB701" s="2"/>
      <c r="AC701" s="3"/>
      <c r="AD701" s="2"/>
      <c r="AE701" s="2"/>
      <c r="AF701" s="2"/>
      <c r="AG701" s="2"/>
      <c r="AH701" s="2" t="s">
        <v>3921</v>
      </c>
      <c r="AI701" s="2" t="s">
        <v>3920</v>
      </c>
      <c r="AJ701" s="2"/>
      <c r="AK701" s="2"/>
      <c r="AL701" s="2" t="s">
        <v>3224</v>
      </c>
      <c r="AM701" s="16" t="s">
        <v>4220</v>
      </c>
      <c r="AN701" s="2"/>
      <c r="AO701" s="2" t="s">
        <v>3922</v>
      </c>
      <c r="AP701" s="2" t="s">
        <v>3685</v>
      </c>
      <c r="AQ701" s="2"/>
      <c r="AR701" s="16" t="s">
        <v>3239</v>
      </c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</row>
    <row r="702" spans="3:58" ht="17.25" customHeight="1">
      <c r="C702" s="1">
        <v>43960</v>
      </c>
      <c r="E702" s="2" t="s">
        <v>3562</v>
      </c>
      <c r="F702" s="2"/>
      <c r="G702" s="2" t="s">
        <v>3843</v>
      </c>
      <c r="H702" s="2" t="s">
        <v>3883</v>
      </c>
      <c r="I702" s="2"/>
      <c r="J702" s="2">
        <v>1</v>
      </c>
      <c r="K702" s="2" t="s">
        <v>3449</v>
      </c>
      <c r="L702" s="3">
        <v>30.5</v>
      </c>
      <c r="M702" s="3">
        <v>3.05</v>
      </c>
      <c r="N702" s="3">
        <v>1.72</v>
      </c>
      <c r="O702" s="3"/>
      <c r="P702" s="3">
        <f>1.83-1.83</f>
        <v>0</v>
      </c>
      <c r="Q702" s="6">
        <f t="shared" ref="Q702:Q704" si="1556">+L702-M702-N702+P702</f>
        <v>25.73</v>
      </c>
      <c r="R702" s="3"/>
      <c r="S702" s="3">
        <v>14.9</v>
      </c>
      <c r="T702" s="3">
        <v>1.19</v>
      </c>
      <c r="U702" s="3">
        <v>4.99</v>
      </c>
      <c r="V702" s="3"/>
      <c r="W702" s="3"/>
      <c r="X702" s="2">
        <f t="shared" ref="X702:X704" si="1557">+S702+T702++U702+V702-W702</f>
        <v>21.08</v>
      </c>
      <c r="Y702" s="6">
        <f t="shared" ref="Y702:Y704" si="1558">+Q702-X702</f>
        <v>4.6500000000000021</v>
      </c>
      <c r="Z702" s="2"/>
      <c r="AA702" s="2"/>
      <c r="AB702" s="2"/>
      <c r="AC702" s="3"/>
      <c r="AD702" s="2"/>
      <c r="AE702" s="2"/>
      <c r="AF702" s="2"/>
      <c r="AG702" s="2"/>
      <c r="AH702" s="2" t="s">
        <v>3881</v>
      </c>
      <c r="AI702" s="2" t="s">
        <v>3882</v>
      </c>
      <c r="AJ702" s="2"/>
      <c r="AK702" s="2"/>
      <c r="AL702" s="2" t="s">
        <v>3071</v>
      </c>
      <c r="AM702" s="16" t="s">
        <v>4022</v>
      </c>
      <c r="AN702" s="2"/>
      <c r="AO702" s="2" t="s">
        <v>3831</v>
      </c>
      <c r="AP702" s="2" t="s">
        <v>3519</v>
      </c>
      <c r="AQ702" s="2"/>
      <c r="AR702" s="16" t="s">
        <v>3822</v>
      </c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</row>
    <row r="703" spans="3:58" ht="17.25" customHeight="1">
      <c r="C703" s="1">
        <v>43960</v>
      </c>
      <c r="E703" s="2" t="s">
        <v>3119</v>
      </c>
      <c r="F703" s="2"/>
      <c r="G703" s="2" t="s">
        <v>3845</v>
      </c>
      <c r="H703" s="2" t="s">
        <v>3844</v>
      </c>
      <c r="I703" s="2"/>
      <c r="J703" s="2">
        <v>1</v>
      </c>
      <c r="K703" s="2" t="s">
        <v>3449</v>
      </c>
      <c r="L703" s="3">
        <v>22.85</v>
      </c>
      <c r="M703" s="3">
        <v>2.2799999999999998</v>
      </c>
      <c r="N703" s="3">
        <v>1.4</v>
      </c>
      <c r="O703" s="3"/>
      <c r="P703" s="3">
        <f>2.17-2.17</f>
        <v>0</v>
      </c>
      <c r="Q703" s="6">
        <f t="shared" si="1556"/>
        <v>19.170000000000002</v>
      </c>
      <c r="R703" s="3"/>
      <c r="S703" s="3">
        <v>11.95</v>
      </c>
      <c r="T703" s="3">
        <v>1.1399999999999999</v>
      </c>
      <c r="U703" s="3"/>
      <c r="V703" s="3"/>
      <c r="W703" s="3"/>
      <c r="X703" s="3">
        <f t="shared" si="1557"/>
        <v>13.09</v>
      </c>
      <c r="Y703" s="3">
        <f t="shared" si="1558"/>
        <v>6.0800000000000018</v>
      </c>
      <c r="Z703" s="2"/>
      <c r="AA703" s="2"/>
      <c r="AB703" s="2"/>
      <c r="AC703" s="3"/>
      <c r="AD703" s="2"/>
      <c r="AE703" s="2"/>
      <c r="AF703" s="2"/>
      <c r="AG703" s="2"/>
      <c r="AH703" s="2" t="s">
        <v>3891</v>
      </c>
      <c r="AI703" s="2" t="s">
        <v>3892</v>
      </c>
      <c r="AJ703" s="2"/>
      <c r="AK703" s="2"/>
      <c r="AL703" s="2" t="s">
        <v>4228</v>
      </c>
      <c r="AM703" s="2" t="s">
        <v>4357</v>
      </c>
      <c r="AN703" s="2"/>
      <c r="AO703" s="2" t="s">
        <v>3990</v>
      </c>
      <c r="AP703" s="2" t="s">
        <v>3038</v>
      </c>
      <c r="AQ703" s="2"/>
      <c r="AR703" s="2" t="s">
        <v>3996</v>
      </c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</row>
    <row r="704" spans="3:58" ht="17.25" customHeight="1">
      <c r="C704" s="1">
        <v>43960</v>
      </c>
      <c r="E704" s="2" t="s">
        <v>3637</v>
      </c>
      <c r="F704" s="2"/>
      <c r="G704" s="2" t="s">
        <v>3847</v>
      </c>
      <c r="H704" s="2" t="s">
        <v>3846</v>
      </c>
      <c r="I704" s="2"/>
      <c r="J704" s="2">
        <v>0</v>
      </c>
      <c r="K704" s="2"/>
      <c r="L704" s="3">
        <v>0</v>
      </c>
      <c r="M704" s="3">
        <v>0</v>
      </c>
      <c r="N704" s="3">
        <v>0</v>
      </c>
      <c r="O704" s="3"/>
      <c r="P704" s="3">
        <v>0</v>
      </c>
      <c r="Q704" s="6">
        <f t="shared" si="1556"/>
        <v>0</v>
      </c>
      <c r="R704" s="3"/>
      <c r="S704" s="3">
        <v>0</v>
      </c>
      <c r="T704" s="3">
        <v>0</v>
      </c>
      <c r="U704" s="3">
        <v>0</v>
      </c>
      <c r="V704" s="3"/>
      <c r="W704" s="3">
        <v>0</v>
      </c>
      <c r="X704" s="2">
        <f t="shared" si="1557"/>
        <v>0</v>
      </c>
      <c r="Y704" s="6">
        <f t="shared" si="1558"/>
        <v>0</v>
      </c>
      <c r="Z704" s="2"/>
      <c r="AA704" s="2"/>
      <c r="AB704" s="2"/>
      <c r="AC704" s="3"/>
      <c r="AD704" s="2"/>
      <c r="AE704" s="2"/>
      <c r="AF704" s="2"/>
      <c r="AG704" s="2"/>
      <c r="AH704" s="2" t="s">
        <v>3893</v>
      </c>
      <c r="AI704" s="2" t="s">
        <v>3894</v>
      </c>
      <c r="AJ704" s="2"/>
      <c r="AK704" s="2"/>
      <c r="AL704" s="2"/>
      <c r="AM704" s="2"/>
      <c r="AN704" s="2"/>
      <c r="AO704" s="5" t="s">
        <v>3995</v>
      </c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</row>
    <row r="705" spans="3:58" ht="17.25" customHeight="1">
      <c r="C705" s="1">
        <v>43960</v>
      </c>
      <c r="E705" s="2" t="s">
        <v>2979</v>
      </c>
      <c r="F705" s="2"/>
      <c r="G705" s="2" t="s">
        <v>4050</v>
      </c>
      <c r="H705" s="2" t="s">
        <v>4132</v>
      </c>
      <c r="I705" s="2"/>
      <c r="J705" s="2">
        <v>0</v>
      </c>
      <c r="K705" s="2" t="s">
        <v>3449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2"/>
      <c r="AA705" s="2"/>
      <c r="AB705" s="2"/>
      <c r="AC705" s="3"/>
      <c r="AD705" s="2"/>
      <c r="AE705" s="2" t="s">
        <v>4133</v>
      </c>
      <c r="AF705" s="2"/>
      <c r="AG705" s="2"/>
      <c r="AH705" s="2"/>
      <c r="AI705" s="2"/>
      <c r="AJ705" s="2"/>
      <c r="AK705" s="2"/>
      <c r="AL705" s="2"/>
      <c r="AM705" s="2"/>
      <c r="AN705" s="2"/>
      <c r="AO705" s="5" t="s">
        <v>3256</v>
      </c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</row>
    <row r="706" spans="3:58" ht="17.25" customHeight="1">
      <c r="C706" s="1">
        <v>43960</v>
      </c>
      <c r="E706" s="2" t="s">
        <v>2979</v>
      </c>
      <c r="F706" s="2"/>
      <c r="G706" s="2" t="s">
        <v>4049</v>
      </c>
      <c r="H706" s="2" t="s">
        <v>4124</v>
      </c>
      <c r="I706" s="2"/>
      <c r="J706" s="2">
        <v>0</v>
      </c>
      <c r="K706" s="2" t="s">
        <v>3982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2"/>
      <c r="AA706" s="2"/>
      <c r="AB706" s="2"/>
      <c r="AC706" s="3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5" t="s">
        <v>3256</v>
      </c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</row>
    <row r="707" spans="3:58" ht="17.25" customHeight="1">
      <c r="C707" s="1">
        <v>43960</v>
      </c>
      <c r="E707" s="2" t="s">
        <v>2979</v>
      </c>
      <c r="F707" s="2"/>
      <c r="G707" s="2" t="s">
        <v>4048</v>
      </c>
      <c r="H707" s="2" t="s">
        <v>4125</v>
      </c>
      <c r="I707" s="2"/>
      <c r="J707" s="2">
        <v>0</v>
      </c>
      <c r="K707" s="2" t="s">
        <v>3982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2"/>
      <c r="AA707" s="2"/>
      <c r="AB707" s="2"/>
      <c r="AC707" s="3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5" t="s">
        <v>3256</v>
      </c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</row>
    <row r="708" spans="3:58" ht="17.25" customHeight="1">
      <c r="C708" s="1">
        <v>43960</v>
      </c>
      <c r="E708" s="2" t="s">
        <v>3616</v>
      </c>
      <c r="F708" s="2"/>
      <c r="G708" s="2" t="s">
        <v>3817</v>
      </c>
      <c r="H708" s="2" t="s">
        <v>3816</v>
      </c>
      <c r="I708" s="2"/>
      <c r="J708" s="2">
        <v>1</v>
      </c>
      <c r="K708" s="2"/>
      <c r="L708" s="3">
        <v>26.9</v>
      </c>
      <c r="M708" s="3">
        <v>2.69</v>
      </c>
      <c r="N708" s="3">
        <v>1.56</v>
      </c>
      <c r="O708" s="3">
        <v>0</v>
      </c>
      <c r="P708" s="3">
        <f>1.68-1.68</f>
        <v>0</v>
      </c>
      <c r="Q708" s="6">
        <f t="shared" ref="Q708:Q710" si="1559">+L708-M708-N708+P708</f>
        <v>22.65</v>
      </c>
      <c r="R708" s="3"/>
      <c r="S708" s="3">
        <v>13.97</v>
      </c>
      <c r="T708" s="3">
        <v>0.98</v>
      </c>
      <c r="U708" s="3"/>
      <c r="V708" s="3"/>
      <c r="W708" s="3"/>
      <c r="X708" s="2">
        <f t="shared" ref="X708:X710" si="1560">+S708+T708++U708+V708-W708</f>
        <v>14.950000000000001</v>
      </c>
      <c r="Y708" s="6">
        <f t="shared" ref="Y708:Y710" si="1561">+Q708-X708</f>
        <v>7.6999999999999975</v>
      </c>
      <c r="Z708" s="6">
        <f>SUM(Y696:Y708)</f>
        <v>68.3</v>
      </c>
      <c r="AA708" s="2"/>
      <c r="AB708" s="2"/>
      <c r="AC708" s="3"/>
      <c r="AD708" s="2"/>
      <c r="AE708" s="2"/>
      <c r="AF708" s="2"/>
      <c r="AG708" s="2"/>
      <c r="AH708" s="2" t="s">
        <v>4080</v>
      </c>
      <c r="AI708" s="2" t="s">
        <v>4079</v>
      </c>
      <c r="AJ708" s="2"/>
      <c r="AK708" s="2"/>
      <c r="AL708" s="2" t="s">
        <v>3224</v>
      </c>
      <c r="AM708" s="16" t="s">
        <v>4078</v>
      </c>
      <c r="AN708" s="2"/>
      <c r="AO708" s="2" t="s">
        <v>3833</v>
      </c>
      <c r="AP708" s="16" t="s">
        <v>3739</v>
      </c>
      <c r="AQ708" s="16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</row>
    <row r="709" spans="3:58" ht="17.25" customHeight="1">
      <c r="C709" s="1">
        <v>43959</v>
      </c>
      <c r="E709" s="2" t="s">
        <v>3813</v>
      </c>
      <c r="F709" s="2"/>
      <c r="G709" s="2" t="s">
        <v>3815</v>
      </c>
      <c r="H709" s="2" t="s">
        <v>3814</v>
      </c>
      <c r="I709" s="2"/>
      <c r="J709" s="2">
        <v>1</v>
      </c>
      <c r="K709" s="2"/>
      <c r="L709" s="3">
        <v>68</v>
      </c>
      <c r="M709" s="3">
        <v>6.8</v>
      </c>
      <c r="N709" s="3">
        <v>3.52</v>
      </c>
      <c r="O709" s="3"/>
      <c r="P709" s="3">
        <f>5.27-5.27</f>
        <v>0</v>
      </c>
      <c r="Q709" s="6">
        <f t="shared" si="1559"/>
        <v>57.68</v>
      </c>
      <c r="R709" s="3"/>
      <c r="S709" s="3">
        <v>48.84</v>
      </c>
      <c r="T709" s="3">
        <v>3.78</v>
      </c>
      <c r="U709" s="3"/>
      <c r="V709" s="3"/>
      <c r="W709" s="3"/>
      <c r="X709" s="2">
        <f t="shared" si="1560"/>
        <v>52.620000000000005</v>
      </c>
      <c r="Y709" s="6">
        <f t="shared" si="1561"/>
        <v>5.0599999999999952</v>
      </c>
      <c r="Z709" s="2"/>
      <c r="AA709" s="2"/>
      <c r="AB709" s="2"/>
      <c r="AC709" s="3"/>
      <c r="AD709" s="2"/>
      <c r="AE709" s="2"/>
      <c r="AF709" s="2"/>
      <c r="AG709" s="2"/>
      <c r="AH709" s="2" t="s">
        <v>3895</v>
      </c>
      <c r="AI709" s="2" t="s">
        <v>3896</v>
      </c>
      <c r="AJ709" s="2"/>
      <c r="AK709" s="2"/>
      <c r="AL709" s="2" t="s">
        <v>2926</v>
      </c>
      <c r="AM709" s="16" t="s">
        <v>4383</v>
      </c>
      <c r="AN709" s="2"/>
      <c r="AO709" s="2" t="s">
        <v>4117</v>
      </c>
      <c r="AP709" s="2" t="s">
        <v>4090</v>
      </c>
      <c r="AQ709" s="2"/>
      <c r="AR709" s="16" t="s">
        <v>3750</v>
      </c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</row>
    <row r="710" spans="3:58" ht="17.25" customHeight="1">
      <c r="C710" s="1">
        <v>43959</v>
      </c>
      <c r="E710" s="2" t="s">
        <v>2979</v>
      </c>
      <c r="F710" s="2"/>
      <c r="G710" s="2" t="s">
        <v>3811</v>
      </c>
      <c r="H710" s="2" t="s">
        <v>4047</v>
      </c>
      <c r="I710" s="2"/>
      <c r="J710" s="2">
        <v>1</v>
      </c>
      <c r="K710" s="2"/>
      <c r="L710" s="3">
        <v>60.35</v>
      </c>
      <c r="M710" s="3">
        <v>6.03</v>
      </c>
      <c r="N710" s="3">
        <v>3.16</v>
      </c>
      <c r="O710" s="3"/>
      <c r="P710" s="3">
        <f>4.71-4.71</f>
        <v>0</v>
      </c>
      <c r="Q710" s="6">
        <f t="shared" si="1559"/>
        <v>51.16</v>
      </c>
      <c r="R710" s="3"/>
      <c r="S710" s="3">
        <v>31.75</v>
      </c>
      <c r="T710" s="3">
        <v>2.48</v>
      </c>
      <c r="U710" s="3">
        <v>4.99</v>
      </c>
      <c r="V710" s="3"/>
      <c r="W710" s="3"/>
      <c r="X710" s="2">
        <f t="shared" si="1560"/>
        <v>39.22</v>
      </c>
      <c r="Y710" s="6">
        <f t="shared" si="1561"/>
        <v>11.939999999999998</v>
      </c>
      <c r="Z710" s="2"/>
      <c r="AA710" s="2"/>
      <c r="AB710" s="2"/>
      <c r="AC710" s="3"/>
      <c r="AD710" s="2"/>
      <c r="AE710" s="2"/>
      <c r="AF710" s="2"/>
      <c r="AG710" s="2"/>
      <c r="AH710" s="2" t="s">
        <v>3889</v>
      </c>
      <c r="AI710" s="2" t="s">
        <v>3890</v>
      </c>
      <c r="AJ710" s="2"/>
      <c r="AK710" s="2"/>
      <c r="AL710" s="2" t="s">
        <v>3071</v>
      </c>
      <c r="AM710" s="16" t="s">
        <v>4086</v>
      </c>
      <c r="AN710" s="2" t="s">
        <v>3818</v>
      </c>
      <c r="AO710" s="2" t="s">
        <v>4003</v>
      </c>
      <c r="AP710" s="2" t="s">
        <v>3519</v>
      </c>
      <c r="AQ710" s="2"/>
      <c r="AR710" s="16" t="s">
        <v>3998</v>
      </c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</row>
    <row r="711" spans="3:58" ht="17.25" customHeight="1">
      <c r="C711" s="1">
        <v>43959</v>
      </c>
      <c r="E711" s="2" t="s">
        <v>2979</v>
      </c>
      <c r="F711" s="2"/>
      <c r="G711" s="2" t="s">
        <v>4134</v>
      </c>
      <c r="H711" s="2" t="s">
        <v>4450</v>
      </c>
      <c r="I711" s="2"/>
      <c r="J711" s="2">
        <v>0</v>
      </c>
      <c r="K711" s="2" t="s">
        <v>3982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2"/>
      <c r="AA711" s="2"/>
      <c r="AB711" s="2"/>
      <c r="AC711" s="3"/>
      <c r="AD711" s="2"/>
      <c r="AE711" s="2"/>
      <c r="AF711" s="2"/>
      <c r="AG711" s="2"/>
      <c r="AH711" s="2"/>
      <c r="AI711" s="2"/>
      <c r="AJ711" s="2"/>
      <c r="AK711" s="2"/>
      <c r="AL711" s="2"/>
      <c r="AM711" s="5" t="s">
        <v>493</v>
      </c>
      <c r="AN711" s="2"/>
      <c r="AO711" s="5" t="s">
        <v>493</v>
      </c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</row>
    <row r="712" spans="3:58" ht="17.25" customHeight="1">
      <c r="C712" s="1">
        <v>43959</v>
      </c>
      <c r="E712" s="2" t="s">
        <v>3637</v>
      </c>
      <c r="F712" s="2"/>
      <c r="G712" s="2" t="s">
        <v>4627</v>
      </c>
      <c r="H712" s="2" t="s">
        <v>3597</v>
      </c>
      <c r="I712" s="2"/>
      <c r="J712" s="2">
        <v>1</v>
      </c>
      <c r="K712" s="2" t="s">
        <v>3449</v>
      </c>
      <c r="L712" s="3">
        <v>29.35</v>
      </c>
      <c r="M712" s="3">
        <v>2.93</v>
      </c>
      <c r="N712" s="3">
        <v>1.69</v>
      </c>
      <c r="O712" s="3"/>
      <c r="P712" s="3">
        <v>2.13</v>
      </c>
      <c r="Q712" s="6">
        <f t="shared" ref="Q712" si="1562">+L712-M712-N712+P712</f>
        <v>26.86</v>
      </c>
      <c r="R712" s="3"/>
      <c r="S712" s="3">
        <v>14.98</v>
      </c>
      <c r="T712" s="3">
        <v>1.39</v>
      </c>
      <c r="U712" s="3">
        <v>0</v>
      </c>
      <c r="V712" s="3"/>
      <c r="W712" s="3">
        <v>0</v>
      </c>
      <c r="X712" s="2">
        <f t="shared" ref="X712" si="1563">+S712+T712++U712+V712-W712</f>
        <v>16.37</v>
      </c>
      <c r="Y712" s="6">
        <f t="shared" ref="Y712" si="1564">+Q712-X712</f>
        <v>10.489999999999998</v>
      </c>
      <c r="Z712" s="2"/>
      <c r="AA712" s="2"/>
      <c r="AB712" s="2"/>
      <c r="AC712" s="3"/>
      <c r="AD712" s="2"/>
      <c r="AE712" s="2"/>
      <c r="AF712" s="2"/>
      <c r="AG712" s="2"/>
      <c r="AH712" s="2" t="s">
        <v>3057</v>
      </c>
      <c r="AI712" s="2" t="s">
        <v>3056</v>
      </c>
      <c r="AJ712" s="2"/>
      <c r="AK712" s="2"/>
      <c r="AL712" s="2" t="s">
        <v>2922</v>
      </c>
      <c r="AM712" s="16" t="s">
        <v>4085</v>
      </c>
      <c r="AN712" s="2"/>
      <c r="AO712" s="2" t="s">
        <v>4004</v>
      </c>
      <c r="AP712" s="2" t="s">
        <v>3685</v>
      </c>
      <c r="AQ712" s="2"/>
      <c r="AR712" s="16" t="s">
        <v>3467</v>
      </c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</row>
    <row r="713" spans="3:58" ht="17.25" customHeight="1">
      <c r="C713" s="1">
        <v>43959</v>
      </c>
      <c r="E713" s="2" t="s">
        <v>3562</v>
      </c>
      <c r="F713" s="2"/>
      <c r="G713" s="2" t="s">
        <v>3809</v>
      </c>
      <c r="H713" s="2" t="s">
        <v>4123</v>
      </c>
      <c r="I713" s="2"/>
      <c r="J713" s="2">
        <v>0</v>
      </c>
      <c r="K713" s="2" t="s">
        <v>3449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2"/>
      <c r="AA713" s="2"/>
      <c r="AB713" s="2"/>
      <c r="AC713" s="3"/>
      <c r="AD713" s="2"/>
      <c r="AE713" s="2"/>
      <c r="AF713" s="2"/>
      <c r="AG713" s="2"/>
      <c r="AH713" s="2"/>
      <c r="AI713" s="2"/>
      <c r="AJ713" s="2"/>
      <c r="AK713" s="2"/>
      <c r="AL713" s="2"/>
      <c r="AM713" s="5" t="s">
        <v>3256</v>
      </c>
      <c r="AN713" s="2"/>
      <c r="AO713" s="5" t="s">
        <v>3256</v>
      </c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</row>
    <row r="714" spans="3:58" ht="17.25" customHeight="1">
      <c r="C714" s="1">
        <v>43959</v>
      </c>
      <c r="E714" s="2" t="s">
        <v>2979</v>
      </c>
      <c r="F714" s="2"/>
      <c r="G714" s="2" t="s">
        <v>4046</v>
      </c>
      <c r="H714" s="2" t="s">
        <v>4123</v>
      </c>
      <c r="I714" s="2"/>
      <c r="J714" s="2">
        <v>0</v>
      </c>
      <c r="K714" s="2" t="s">
        <v>3449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2"/>
      <c r="AA714" s="2"/>
      <c r="AB714" s="2"/>
      <c r="AC714" s="3"/>
      <c r="AD714" s="2"/>
      <c r="AE714" s="2"/>
      <c r="AF714" s="2"/>
      <c r="AG714" s="2"/>
      <c r="AH714" s="2"/>
      <c r="AI714" s="2"/>
      <c r="AJ714" s="2"/>
      <c r="AK714" s="2"/>
      <c r="AL714" s="2"/>
      <c r="AM714" s="5" t="s">
        <v>3256</v>
      </c>
      <c r="AN714" s="2"/>
      <c r="AO714" s="5" t="s">
        <v>3256</v>
      </c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</row>
    <row r="715" spans="3:58" ht="17.25" customHeight="1">
      <c r="C715" s="1">
        <v>43959</v>
      </c>
      <c r="E715" s="2" t="s">
        <v>2289</v>
      </c>
      <c r="F715" s="2"/>
      <c r="G715" s="2" t="s">
        <v>3808</v>
      </c>
      <c r="H715" s="2" t="s">
        <v>3807</v>
      </c>
      <c r="I715" s="2"/>
      <c r="J715" s="2">
        <v>1</v>
      </c>
      <c r="K715" s="2"/>
      <c r="L715" s="3">
        <v>39.5</v>
      </c>
      <c r="M715" s="3">
        <v>3.95</v>
      </c>
      <c r="N715" s="3">
        <v>2.14</v>
      </c>
      <c r="O715" s="3"/>
      <c r="P715" s="3">
        <f>2.21-2.21</f>
        <v>0</v>
      </c>
      <c r="Q715" s="6">
        <f t="shared" ref="Q715:Q716" si="1565">+L715-M715-N715+P715</f>
        <v>33.409999999999997</v>
      </c>
      <c r="R715" s="3"/>
      <c r="S715" s="3">
        <v>16.46</v>
      </c>
      <c r="T715" s="3">
        <v>1.37</v>
      </c>
      <c r="U715" s="3"/>
      <c r="V715" s="3"/>
      <c r="W715" s="3"/>
      <c r="X715" s="2">
        <f t="shared" ref="X715:X716" si="1566">+S715+T715++U715+V715-W715</f>
        <v>17.830000000000002</v>
      </c>
      <c r="Y715" s="6">
        <f t="shared" ref="Y715:Y716" si="1567">+Q715-X715</f>
        <v>15.579999999999995</v>
      </c>
      <c r="Z715" s="2"/>
      <c r="AA715" s="2"/>
      <c r="AB715" s="2"/>
      <c r="AC715" s="3"/>
      <c r="AD715" s="2"/>
      <c r="AE715" s="2"/>
      <c r="AF715" s="2"/>
      <c r="AG715" s="2"/>
      <c r="AH715" s="2" t="s">
        <v>4369</v>
      </c>
      <c r="AI715" s="2" t="s">
        <v>4368</v>
      </c>
      <c r="AJ715" s="2"/>
      <c r="AK715" s="2"/>
      <c r="AL715" s="2" t="s">
        <v>2922</v>
      </c>
      <c r="AM715" s="16" t="s">
        <v>4367</v>
      </c>
      <c r="AN715" s="2"/>
      <c r="AO715" s="2" t="s">
        <v>3834</v>
      </c>
      <c r="AP715" s="2" t="s">
        <v>3835</v>
      </c>
      <c r="AQ715" s="2"/>
      <c r="AR715" s="16" t="s">
        <v>3836</v>
      </c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</row>
    <row r="716" spans="3:58" ht="17.25" customHeight="1">
      <c r="C716" s="1">
        <v>43959</v>
      </c>
      <c r="E716" s="2" t="s">
        <v>2979</v>
      </c>
      <c r="F716" s="2"/>
      <c r="G716" s="2" t="s">
        <v>4457</v>
      </c>
      <c r="H716" s="2" t="s">
        <v>3810</v>
      </c>
      <c r="I716" s="2"/>
      <c r="J716" s="2">
        <v>1</v>
      </c>
      <c r="K716" s="2" t="s">
        <v>3449</v>
      </c>
      <c r="L716" s="3">
        <v>60.35</v>
      </c>
      <c r="M716" s="3">
        <v>6.03</v>
      </c>
      <c r="N716" s="3">
        <v>3.14</v>
      </c>
      <c r="O716" s="3"/>
      <c r="P716" s="3">
        <f>4.22-4.22</f>
        <v>0</v>
      </c>
      <c r="Q716" s="6">
        <f t="shared" si="1565"/>
        <v>51.18</v>
      </c>
      <c r="R716" s="3"/>
      <c r="S716" s="3">
        <v>31.75</v>
      </c>
      <c r="T716" s="3">
        <v>2.57</v>
      </c>
      <c r="U716" s="3">
        <v>4.99</v>
      </c>
      <c r="V716" s="3"/>
      <c r="W716" s="3"/>
      <c r="X716" s="2">
        <f t="shared" si="1566"/>
        <v>39.31</v>
      </c>
      <c r="Y716" s="6">
        <f t="shared" si="1567"/>
        <v>11.869999999999997</v>
      </c>
      <c r="Z716" s="2"/>
      <c r="AA716" s="2"/>
      <c r="AB716" s="2"/>
      <c r="AC716" s="3"/>
      <c r="AD716" s="2"/>
      <c r="AE716" s="2"/>
      <c r="AF716" s="2"/>
      <c r="AG716" s="2"/>
      <c r="AH716" s="2" t="s">
        <v>4001</v>
      </c>
      <c r="AI716" s="2" t="s">
        <v>4000</v>
      </c>
      <c r="AJ716" s="2"/>
      <c r="AK716" s="2"/>
      <c r="AL716" s="2" t="s">
        <v>3071</v>
      </c>
      <c r="AM716" s="16" t="s">
        <v>4087</v>
      </c>
      <c r="AN716" s="2" t="s">
        <v>3818</v>
      </c>
      <c r="AO716" s="2" t="s">
        <v>4002</v>
      </c>
      <c r="AP716" s="2" t="s">
        <v>3519</v>
      </c>
      <c r="AQ716" s="2"/>
      <c r="AR716" s="16" t="s">
        <v>3998</v>
      </c>
      <c r="AS716" s="2"/>
      <c r="AT716" s="2"/>
      <c r="AU716" s="2" t="s">
        <v>5688</v>
      </c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</row>
    <row r="717" spans="3:58" ht="17.25" customHeight="1">
      <c r="C717" s="1">
        <v>43959</v>
      </c>
      <c r="E717" s="2" t="s">
        <v>2979</v>
      </c>
      <c r="F717" s="2"/>
      <c r="G717" s="5" t="s">
        <v>4437</v>
      </c>
      <c r="H717" s="2" t="s">
        <v>4126</v>
      </c>
      <c r="I717" s="2"/>
      <c r="J717" s="2">
        <v>1</v>
      </c>
      <c r="K717" s="2" t="s">
        <v>3449</v>
      </c>
      <c r="L717" s="3">
        <v>60.35</v>
      </c>
      <c r="M717" s="3">
        <v>6.03</v>
      </c>
      <c r="N717" s="3">
        <v>3.17</v>
      </c>
      <c r="O717" s="3"/>
      <c r="P717" s="3">
        <f>4.83-4.83</f>
        <v>0</v>
      </c>
      <c r="Q717" s="6">
        <f t="shared" ref="Q717" si="1568">+L717-M717-N717+P717</f>
        <v>51.15</v>
      </c>
      <c r="R717" s="3"/>
      <c r="S717" s="3">
        <v>31.75</v>
      </c>
      <c r="T717" s="3">
        <v>2.94</v>
      </c>
      <c r="U717" s="3">
        <v>4.99</v>
      </c>
      <c r="V717" s="3"/>
      <c r="W717" s="3"/>
      <c r="X717" s="2">
        <f t="shared" ref="X717" si="1569">+S717+T717++U717+V717-W717</f>
        <v>39.68</v>
      </c>
      <c r="Y717" s="6">
        <f t="shared" ref="Y717" si="1570">+Q717-X717</f>
        <v>11.469999999999999</v>
      </c>
      <c r="Z717" s="2"/>
      <c r="AA717" s="2"/>
      <c r="AB717" s="2"/>
      <c r="AC717" s="3"/>
      <c r="AD717" s="2"/>
      <c r="AE717" s="2"/>
      <c r="AF717" s="2"/>
      <c r="AG717" s="2"/>
      <c r="AH717" s="2" t="s">
        <v>3853</v>
      </c>
      <c r="AI717" s="2" t="s">
        <v>3852</v>
      </c>
      <c r="AJ717" s="2"/>
      <c r="AK717" s="2"/>
      <c r="AL717" s="2" t="s">
        <v>3071</v>
      </c>
      <c r="AM717" s="16" t="s">
        <v>4116</v>
      </c>
      <c r="AN717" s="2" t="s">
        <v>3818</v>
      </c>
      <c r="AO717" s="2" t="s">
        <v>3997</v>
      </c>
      <c r="AP717" s="2" t="s">
        <v>3519</v>
      </c>
      <c r="AQ717" s="2"/>
      <c r="AR717" s="16" t="s">
        <v>3998</v>
      </c>
      <c r="AT717" s="2"/>
      <c r="AU717" s="2" t="s">
        <v>5427</v>
      </c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</row>
    <row r="718" spans="3:58" ht="17.25" customHeight="1">
      <c r="C718" s="1">
        <v>43959</v>
      </c>
      <c r="E718" s="2" t="s">
        <v>2964</v>
      </c>
      <c r="F718" s="2"/>
      <c r="G718" s="2" t="s">
        <v>3806</v>
      </c>
      <c r="H718" s="2" t="s">
        <v>3805</v>
      </c>
      <c r="I718" s="2"/>
      <c r="J718" s="2">
        <v>1</v>
      </c>
      <c r="K718" s="2" t="s">
        <v>3449</v>
      </c>
      <c r="L718" s="3">
        <v>83.5</v>
      </c>
      <c r="M718" s="3">
        <v>8.35</v>
      </c>
      <c r="N718" s="3">
        <v>4.32</v>
      </c>
      <c r="O718" s="3">
        <v>0</v>
      </c>
      <c r="P718" s="3">
        <f>7.93-7.93</f>
        <v>0</v>
      </c>
      <c r="Q718" s="6">
        <f t="shared" ref="Q718" si="1571">+L718-M718-N718+P718</f>
        <v>70.830000000000013</v>
      </c>
      <c r="R718" s="3"/>
      <c r="S718" s="3">
        <v>65.19</v>
      </c>
      <c r="T718" s="3">
        <v>6.19</v>
      </c>
      <c r="U718" s="3"/>
      <c r="V718" s="3"/>
      <c r="W718" s="3">
        <f>6.51+0.62</f>
        <v>7.13</v>
      </c>
      <c r="X718" s="2">
        <f t="shared" ref="X718" si="1572">+S718+T718++U718+V718-W718</f>
        <v>64.25</v>
      </c>
      <c r="Y718" s="6">
        <f t="shared" ref="Y718" si="1573">+Q718-X718</f>
        <v>6.5800000000000125</v>
      </c>
      <c r="Z718" s="2"/>
      <c r="AA718" s="2"/>
      <c r="AB718" s="2"/>
      <c r="AC718" s="3"/>
      <c r="AD718" s="2"/>
      <c r="AE718" s="2"/>
      <c r="AF718" s="2"/>
      <c r="AG718" s="2"/>
      <c r="AH718" s="2" t="s">
        <v>3851</v>
      </c>
      <c r="AI718" s="2" t="s">
        <v>3850</v>
      </c>
      <c r="AJ718" s="2"/>
      <c r="AK718" s="2"/>
      <c r="AL718" s="2" t="s">
        <v>3071</v>
      </c>
      <c r="AM718" s="16" t="s">
        <v>4137</v>
      </c>
      <c r="AN718" s="2">
        <v>1</v>
      </c>
      <c r="AO718" s="2" t="s">
        <v>4130</v>
      </c>
      <c r="AP718" s="2" t="s">
        <v>3696</v>
      </c>
      <c r="AQ718" s="2"/>
      <c r="AR718" s="16" t="s">
        <v>4131</v>
      </c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</row>
    <row r="719" spans="3:58" ht="17.25" customHeight="1">
      <c r="C719" s="1">
        <v>43959</v>
      </c>
      <c r="E719" s="2" t="s">
        <v>2979</v>
      </c>
      <c r="F719" s="2"/>
      <c r="G719" s="2" t="s">
        <v>4034</v>
      </c>
      <c r="H719" s="2" t="s">
        <v>4135</v>
      </c>
      <c r="I719" s="2"/>
      <c r="J719" s="2">
        <v>0</v>
      </c>
      <c r="K719" s="2" t="s">
        <v>3449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2"/>
      <c r="AA719" s="2"/>
      <c r="AB719" s="2"/>
      <c r="AC719" s="3"/>
      <c r="AD719" s="2"/>
      <c r="AE719" s="2"/>
      <c r="AF719" s="2"/>
      <c r="AG719" s="2"/>
      <c r="AH719" s="2"/>
      <c r="AI719" s="2"/>
      <c r="AJ719" s="2"/>
      <c r="AK719" s="2"/>
      <c r="AL719" s="2"/>
      <c r="AM719" s="5" t="s">
        <v>3256</v>
      </c>
      <c r="AN719" s="2"/>
      <c r="AO719" s="5" t="s">
        <v>3256</v>
      </c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</row>
    <row r="720" spans="3:58" ht="17.25" customHeight="1">
      <c r="C720" s="1">
        <v>43959</v>
      </c>
      <c r="E720" s="2" t="s">
        <v>2979</v>
      </c>
      <c r="F720" s="2"/>
      <c r="G720" s="2" t="s">
        <v>4035</v>
      </c>
      <c r="H720" s="2" t="s">
        <v>4127</v>
      </c>
      <c r="I720" s="2"/>
      <c r="J720" s="2">
        <v>0</v>
      </c>
      <c r="K720" s="2" t="s">
        <v>3449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2"/>
      <c r="AA720" s="2"/>
      <c r="AB720" s="2"/>
      <c r="AC720" s="3"/>
      <c r="AD720" s="2"/>
      <c r="AE720" s="2"/>
      <c r="AF720" s="2"/>
      <c r="AG720" s="2"/>
      <c r="AH720" s="2"/>
      <c r="AI720" s="2"/>
      <c r="AJ720" s="2"/>
      <c r="AK720" s="2"/>
      <c r="AL720" s="2"/>
      <c r="AM720" s="5" t="s">
        <v>3256</v>
      </c>
      <c r="AN720" s="2"/>
      <c r="AO720" s="5" t="s">
        <v>3256</v>
      </c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</row>
    <row r="721" spans="3:58" ht="17.25" customHeight="1">
      <c r="C721" s="1">
        <v>43959</v>
      </c>
      <c r="E721" s="2" t="s">
        <v>2979</v>
      </c>
      <c r="F721" s="2"/>
      <c r="G721" s="2" t="s">
        <v>3792</v>
      </c>
      <c r="H721" s="2" t="s">
        <v>3791</v>
      </c>
      <c r="I721" s="2"/>
      <c r="J721" s="2">
        <v>1</v>
      </c>
      <c r="K721" s="2"/>
      <c r="L721" s="3">
        <v>56.85</v>
      </c>
      <c r="M721" s="3">
        <v>5.68</v>
      </c>
      <c r="N721" s="3">
        <v>2.95</v>
      </c>
      <c r="O721" s="3"/>
      <c r="P721" s="3">
        <f>4.83-4.83</f>
        <v>0</v>
      </c>
      <c r="Q721" s="6">
        <f t="shared" ref="Q721" si="1574">+L721-M721-N721+P721</f>
        <v>48.22</v>
      </c>
      <c r="R721" s="3"/>
      <c r="S721" s="3">
        <v>31.75</v>
      </c>
      <c r="T721" s="3">
        <v>2.21</v>
      </c>
      <c r="U721" s="3">
        <v>4.99</v>
      </c>
      <c r="V721" s="3"/>
      <c r="W721" s="3"/>
      <c r="X721" s="2">
        <f t="shared" ref="X721" si="1575">+S721+T721++U721+V721-W721</f>
        <v>38.950000000000003</v>
      </c>
      <c r="Y721" s="6">
        <f t="shared" ref="Y721" si="1576">+Q721-X721</f>
        <v>9.269999999999996</v>
      </c>
      <c r="Z721" s="6">
        <f>SUM(Y709:Y721)</f>
        <v>82.259999999999991</v>
      </c>
      <c r="AA721" s="2"/>
      <c r="AB721" s="2"/>
      <c r="AC721" s="3"/>
      <c r="AD721" s="2"/>
      <c r="AE721" s="2"/>
      <c r="AF721" s="2"/>
      <c r="AG721" s="2" t="s">
        <v>2887</v>
      </c>
      <c r="AH721" s="2" t="s">
        <v>3849</v>
      </c>
      <c r="AI721" s="2" t="s">
        <v>3848</v>
      </c>
      <c r="AJ721" s="2"/>
      <c r="AK721" s="2"/>
      <c r="AL721" s="2" t="s">
        <v>3071</v>
      </c>
      <c r="AM721" s="16" t="s">
        <v>4088</v>
      </c>
      <c r="AN721" s="2" t="s">
        <v>3818</v>
      </c>
      <c r="AO721" s="2" t="s">
        <v>3999</v>
      </c>
      <c r="AP721" s="2" t="s">
        <v>3519</v>
      </c>
      <c r="AQ721" s="2"/>
      <c r="AR721" s="16" t="s">
        <v>3998</v>
      </c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</row>
    <row r="722" spans="3:58" ht="17.25" customHeight="1">
      <c r="C722" s="1">
        <v>43958</v>
      </c>
      <c r="E722" s="2" t="s">
        <v>2979</v>
      </c>
      <c r="F722" s="2"/>
      <c r="G722" s="2" t="s">
        <v>3752</v>
      </c>
      <c r="H722" s="2" t="s">
        <v>4128</v>
      </c>
      <c r="I722" s="2"/>
      <c r="J722" s="2">
        <v>0</v>
      </c>
      <c r="K722" s="2" t="s">
        <v>3449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2"/>
      <c r="AA722" s="2"/>
      <c r="AB722" s="2"/>
      <c r="AC722" s="3"/>
      <c r="AD722" s="2"/>
      <c r="AE722" s="2"/>
      <c r="AF722" s="2"/>
      <c r="AG722" s="2"/>
      <c r="AH722" s="2"/>
      <c r="AI722" s="2"/>
      <c r="AJ722" s="2"/>
      <c r="AK722" s="2"/>
      <c r="AL722" s="2"/>
      <c r="AM722" s="5" t="s">
        <v>3256</v>
      </c>
      <c r="AN722" s="2"/>
      <c r="AO722" s="5" t="s">
        <v>3256</v>
      </c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</row>
    <row r="723" spans="3:58" ht="17.25" customHeight="1">
      <c r="C723" s="1">
        <v>43958</v>
      </c>
      <c r="E723" s="2" t="s">
        <v>2979</v>
      </c>
      <c r="F723" s="2"/>
      <c r="G723" s="2" t="s">
        <v>3753</v>
      </c>
      <c r="H723" s="2" t="s">
        <v>3875</v>
      </c>
      <c r="I723" s="2"/>
      <c r="J723" s="2">
        <v>0</v>
      </c>
      <c r="K723" s="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2"/>
      <c r="AA723" s="2"/>
      <c r="AB723" s="2"/>
      <c r="AC723" s="3"/>
      <c r="AD723" s="2"/>
      <c r="AE723" s="2"/>
      <c r="AF723" s="2"/>
      <c r="AG723" s="2"/>
      <c r="AH723" s="2"/>
      <c r="AI723" s="2"/>
      <c r="AJ723" s="2"/>
      <c r="AK723" s="2"/>
      <c r="AL723" s="2"/>
      <c r="AM723" s="5" t="s">
        <v>3256</v>
      </c>
      <c r="AN723" s="2"/>
      <c r="AO723" s="5" t="s">
        <v>3256</v>
      </c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</row>
    <row r="724" spans="3:58" ht="17.25" customHeight="1">
      <c r="C724" s="1">
        <v>43958</v>
      </c>
      <c r="E724" s="2" t="s">
        <v>3562</v>
      </c>
      <c r="F724" s="2"/>
      <c r="G724" s="2" t="s">
        <v>3737</v>
      </c>
      <c r="H724" s="2" t="s">
        <v>3736</v>
      </c>
      <c r="I724" s="2"/>
      <c r="J724" s="2">
        <v>1</v>
      </c>
      <c r="K724" s="2" t="s">
        <v>3449</v>
      </c>
      <c r="L724" s="3">
        <v>30.5</v>
      </c>
      <c r="M724" s="3">
        <v>3.05</v>
      </c>
      <c r="N724" s="3">
        <v>1.72</v>
      </c>
      <c r="O724" s="3"/>
      <c r="P724" s="3">
        <f>1.71-1.71</f>
        <v>0</v>
      </c>
      <c r="Q724" s="6">
        <f t="shared" ref="Q724:Q726" si="1577">+L724-M724-N724+P724</f>
        <v>25.73</v>
      </c>
      <c r="R724" s="3"/>
      <c r="S724" s="3">
        <v>18.489999999999998</v>
      </c>
      <c r="T724" s="3">
        <v>1.03</v>
      </c>
      <c r="U724" s="3"/>
      <c r="V724" s="3"/>
      <c r="W724" s="3"/>
      <c r="X724" s="2">
        <f t="shared" ref="X724:X726" si="1578">+S724+T724++U724+V724-W724</f>
        <v>19.52</v>
      </c>
      <c r="Y724" s="6">
        <f t="shared" ref="Y724:Y726" si="1579">+Q724-X724</f>
        <v>6.2100000000000009</v>
      </c>
      <c r="Z724" s="2"/>
      <c r="AA724" s="2"/>
      <c r="AB724" s="2"/>
      <c r="AC724" s="3"/>
      <c r="AD724" s="2"/>
      <c r="AE724" s="2"/>
      <c r="AF724" s="2"/>
      <c r="AG724" s="2"/>
      <c r="AH724" s="2" t="s">
        <v>3774</v>
      </c>
      <c r="AI724" s="2" t="s">
        <v>3773</v>
      </c>
      <c r="AJ724" s="2"/>
      <c r="AK724" s="2"/>
      <c r="AL724" s="2" t="s">
        <v>3071</v>
      </c>
      <c r="AM724" s="16" t="s">
        <v>4025</v>
      </c>
      <c r="AN724" s="2" t="s">
        <v>3832</v>
      </c>
      <c r="AO724" s="2" t="s">
        <v>3831</v>
      </c>
      <c r="AP724" s="2" t="s">
        <v>3519</v>
      </c>
      <c r="AQ724" s="2"/>
      <c r="AR724" s="16" t="s">
        <v>3822</v>
      </c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</row>
    <row r="725" spans="3:58" ht="17.25" customHeight="1">
      <c r="C725" s="1">
        <v>43958</v>
      </c>
      <c r="E725" s="2" t="s">
        <v>2289</v>
      </c>
      <c r="F725" s="2"/>
      <c r="G725" s="2" t="s">
        <v>3735</v>
      </c>
      <c r="H725" s="2" t="s">
        <v>3734</v>
      </c>
      <c r="I725" s="2"/>
      <c r="J725" s="2">
        <v>1</v>
      </c>
      <c r="K725" s="2" t="s">
        <v>3449</v>
      </c>
      <c r="L725" s="3">
        <v>32.5</v>
      </c>
      <c r="M725" s="3">
        <v>3.25</v>
      </c>
      <c r="N725" s="3">
        <v>1.86</v>
      </c>
      <c r="O725" s="3"/>
      <c r="P725" s="3">
        <f>3.01-3.01</f>
        <v>0</v>
      </c>
      <c r="Q725" s="6">
        <f t="shared" si="1577"/>
        <v>27.39</v>
      </c>
      <c r="R725" s="3"/>
      <c r="S725" s="3">
        <v>16.46</v>
      </c>
      <c r="T725" s="3">
        <v>1.52</v>
      </c>
      <c r="U725" s="3"/>
      <c r="V725" s="3"/>
      <c r="W725" s="3"/>
      <c r="X725" s="2">
        <f t="shared" si="1578"/>
        <v>17.98</v>
      </c>
      <c r="Y725" s="6">
        <f t="shared" si="1579"/>
        <v>9.41</v>
      </c>
      <c r="Z725" s="2"/>
      <c r="AA725" s="2"/>
      <c r="AB725" s="2"/>
      <c r="AC725" s="3"/>
      <c r="AD725" s="2"/>
      <c r="AE725" s="2"/>
      <c r="AF725" s="2"/>
      <c r="AG725" s="2"/>
      <c r="AH725" s="2" t="s">
        <v>3776</v>
      </c>
      <c r="AI725" s="2" t="s">
        <v>3775</v>
      </c>
      <c r="AJ725" s="2"/>
      <c r="AK725" s="2"/>
      <c r="AL725" s="2"/>
      <c r="AM725" s="24" t="s">
        <v>4451</v>
      </c>
      <c r="AN725" s="2"/>
      <c r="AO725" s="2" t="s">
        <v>3837</v>
      </c>
      <c r="AP725" s="2" t="s">
        <v>3459</v>
      </c>
      <c r="AQ725" s="2"/>
      <c r="AR725" s="16" t="s">
        <v>3838</v>
      </c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</row>
    <row r="726" spans="3:58" ht="17.25" customHeight="1">
      <c r="C726" s="1">
        <v>43958</v>
      </c>
      <c r="E726" s="2" t="s">
        <v>2979</v>
      </c>
      <c r="F726" s="2"/>
      <c r="G726" s="2" t="s">
        <v>3733</v>
      </c>
      <c r="H726" s="2" t="s">
        <v>3732</v>
      </c>
      <c r="I726" s="2"/>
      <c r="J726" s="2">
        <v>1</v>
      </c>
      <c r="K726" s="2" t="s">
        <v>3449</v>
      </c>
      <c r="L726" s="3">
        <v>56.85</v>
      </c>
      <c r="M726" s="3">
        <v>5.68</v>
      </c>
      <c r="N726" s="3">
        <v>2.96</v>
      </c>
      <c r="O726" s="3"/>
      <c r="P726" s="3">
        <f>5.4-5.4</f>
        <v>0</v>
      </c>
      <c r="Q726" s="6">
        <f t="shared" si="1577"/>
        <v>48.21</v>
      </c>
      <c r="R726" s="3"/>
      <c r="S726" s="3">
        <v>31.75</v>
      </c>
      <c r="T726" s="3">
        <v>2.34</v>
      </c>
      <c r="U726" s="3">
        <v>4.99</v>
      </c>
      <c r="V726" s="3"/>
      <c r="W726" s="3"/>
      <c r="X726" s="2">
        <f t="shared" si="1578"/>
        <v>39.080000000000005</v>
      </c>
      <c r="Y726" s="6">
        <f t="shared" si="1579"/>
        <v>9.1299999999999955</v>
      </c>
      <c r="Z726" s="2"/>
      <c r="AA726" s="2"/>
      <c r="AB726" s="2"/>
      <c r="AC726" s="3"/>
      <c r="AD726" s="2"/>
      <c r="AE726" s="2"/>
      <c r="AF726" s="2"/>
      <c r="AG726" s="2"/>
      <c r="AH726" s="2" t="s">
        <v>3784</v>
      </c>
      <c r="AI726" s="2" t="s">
        <v>3783</v>
      </c>
      <c r="AJ726" s="2"/>
      <c r="AK726" s="2"/>
      <c r="AL726" s="2" t="s">
        <v>3071</v>
      </c>
      <c r="AM726" s="16" t="s">
        <v>4019</v>
      </c>
      <c r="AN726" s="2" t="s">
        <v>3818</v>
      </c>
      <c r="AO726" s="2" t="s">
        <v>3916</v>
      </c>
      <c r="AP726" s="2" t="s">
        <v>3519</v>
      </c>
      <c r="AQ726" s="2"/>
      <c r="AR726" s="16" t="s">
        <v>3822</v>
      </c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</row>
    <row r="727" spans="3:58" ht="17.25" customHeight="1">
      <c r="C727" s="1">
        <v>43958</v>
      </c>
      <c r="E727" s="2" t="s">
        <v>3531</v>
      </c>
      <c r="F727" s="2"/>
      <c r="G727" s="2" t="s">
        <v>3731</v>
      </c>
      <c r="H727" s="2" t="s">
        <v>3730</v>
      </c>
      <c r="I727" s="2"/>
      <c r="J727" s="2">
        <v>1</v>
      </c>
      <c r="K727" s="2" t="s">
        <v>2887</v>
      </c>
      <c r="L727" s="3">
        <v>36.15</v>
      </c>
      <c r="M727" s="3">
        <v>3.61</v>
      </c>
      <c r="N727" s="3">
        <v>1.99</v>
      </c>
      <c r="O727" s="3"/>
      <c r="P727" s="3">
        <f>2.17-2.17</f>
        <v>0</v>
      </c>
      <c r="Q727" s="6">
        <f t="shared" ref="Q727" si="1580">+L727-M727-N727+P727</f>
        <v>30.55</v>
      </c>
      <c r="R727" s="3"/>
      <c r="S727" s="3">
        <v>23.99</v>
      </c>
      <c r="T727" s="3">
        <v>1.44</v>
      </c>
      <c r="U727" s="3">
        <v>0</v>
      </c>
      <c r="V727" s="3"/>
      <c r="W727" s="3">
        <v>0</v>
      </c>
      <c r="X727" s="2">
        <f t="shared" ref="X727" si="1581">+S727+T727++U727+V727-W727</f>
        <v>25.43</v>
      </c>
      <c r="Y727" s="6">
        <f t="shared" ref="Y727" si="1582">+Q727-X727</f>
        <v>5.120000000000001</v>
      </c>
      <c r="Z727" s="2"/>
      <c r="AA727" s="2"/>
      <c r="AB727" s="2"/>
      <c r="AC727" s="3"/>
      <c r="AD727" s="2"/>
      <c r="AE727" s="2"/>
      <c r="AF727" s="2"/>
      <c r="AG727" s="2"/>
      <c r="AH727" s="2" t="s">
        <v>3780</v>
      </c>
      <c r="AI727" s="2" t="s">
        <v>3779</v>
      </c>
      <c r="AJ727" s="2"/>
      <c r="AK727" s="2"/>
      <c r="AL727" s="2" t="s">
        <v>2922</v>
      </c>
      <c r="AM727" s="2" t="s">
        <v>4359</v>
      </c>
      <c r="AN727" s="2"/>
      <c r="AO727" s="2" t="s">
        <v>3939</v>
      </c>
      <c r="AP727" s="2" t="s">
        <v>6043</v>
      </c>
      <c r="AQ727" s="2"/>
      <c r="AR727" s="16" t="s">
        <v>3938</v>
      </c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</row>
    <row r="728" spans="3:58" ht="17.25" customHeight="1">
      <c r="C728" s="1">
        <v>43958</v>
      </c>
      <c r="E728" s="2" t="s">
        <v>2979</v>
      </c>
      <c r="F728" s="2" t="s">
        <v>3903</v>
      </c>
      <c r="G728" s="2" t="s">
        <v>4032</v>
      </c>
      <c r="H728" s="2" t="s">
        <v>4033</v>
      </c>
      <c r="I728" s="2"/>
      <c r="J728" s="2">
        <v>0</v>
      </c>
      <c r="K728" s="2" t="s">
        <v>3449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2"/>
      <c r="AA728" s="2"/>
      <c r="AB728" s="2"/>
      <c r="AC728" s="3"/>
      <c r="AD728" s="2"/>
      <c r="AE728" s="2"/>
      <c r="AF728" s="2"/>
      <c r="AG728" s="2"/>
      <c r="AH728" s="2"/>
      <c r="AI728" s="2"/>
      <c r="AJ728" s="2"/>
      <c r="AK728" s="2"/>
      <c r="AL728" s="2"/>
      <c r="AM728" s="5" t="s">
        <v>493</v>
      </c>
      <c r="AN728" s="2"/>
      <c r="AO728" s="5" t="s">
        <v>3256</v>
      </c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</row>
    <row r="729" spans="3:58" ht="17.25" customHeight="1">
      <c r="C729" s="1">
        <v>43958</v>
      </c>
      <c r="E729" s="2" t="s">
        <v>3179</v>
      </c>
      <c r="F729" s="2"/>
      <c r="G729" s="2" t="s">
        <v>3729</v>
      </c>
      <c r="H729" s="2" t="s">
        <v>3728</v>
      </c>
      <c r="I729" s="2"/>
      <c r="J729" s="2">
        <v>1</v>
      </c>
      <c r="K729" s="2" t="s">
        <v>3449</v>
      </c>
      <c r="L729" s="3">
        <v>18.45</v>
      </c>
      <c r="M729" s="3">
        <v>1.84</v>
      </c>
      <c r="N729" s="3">
        <v>1.1599999999999999</v>
      </c>
      <c r="O729" s="3">
        <v>0</v>
      </c>
      <c r="P729" s="3">
        <f>1.11-1.11</f>
        <v>0</v>
      </c>
      <c r="Q729" s="6">
        <f t="shared" ref="Q729:Q730" si="1583">+L729-M729-N729+P729</f>
        <v>15.45</v>
      </c>
      <c r="R729" s="3"/>
      <c r="S729" s="3">
        <v>12.3</v>
      </c>
      <c r="T729" s="3">
        <v>0.74</v>
      </c>
      <c r="U729" s="3"/>
      <c r="V729" s="3"/>
      <c r="W729" s="3">
        <v>0</v>
      </c>
      <c r="X729" s="2">
        <f t="shared" ref="X729:X730" si="1584">+S729+T729++U729+V729-W729</f>
        <v>13.040000000000001</v>
      </c>
      <c r="Y729" s="6">
        <f t="shared" ref="Y729:Y730" si="1585">+Q729-X729</f>
        <v>2.4099999999999984</v>
      </c>
      <c r="Z729" s="2"/>
      <c r="AA729" s="2"/>
      <c r="AB729" s="2"/>
      <c r="AC729" s="3"/>
      <c r="AD729" s="2"/>
      <c r="AE729" s="2"/>
      <c r="AF729" s="2"/>
      <c r="AG729" s="2"/>
      <c r="AH729" s="4" t="s">
        <v>3762</v>
      </c>
      <c r="AI729" s="2" t="s">
        <v>3763</v>
      </c>
      <c r="AJ729" s="2"/>
      <c r="AK729" s="2"/>
      <c r="AL729" s="2" t="s">
        <v>3084</v>
      </c>
      <c r="AM729" s="16" t="s">
        <v>4305</v>
      </c>
      <c r="AN729" s="2"/>
      <c r="AO729" s="2" t="s">
        <v>3994</v>
      </c>
      <c r="AP729" s="2" t="s">
        <v>3914</v>
      </c>
      <c r="AQ729" s="2"/>
      <c r="AR729" s="16" t="s">
        <v>3936</v>
      </c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</row>
    <row r="730" spans="3:58" ht="17.25" customHeight="1">
      <c r="C730" s="1">
        <v>43958</v>
      </c>
      <c r="E730" s="2" t="s">
        <v>2979</v>
      </c>
      <c r="F730" s="2"/>
      <c r="G730" s="2" t="s">
        <v>3727</v>
      </c>
      <c r="H730" s="2" t="s">
        <v>3726</v>
      </c>
      <c r="I730" s="2"/>
      <c r="J730" s="2">
        <v>1</v>
      </c>
      <c r="K730" s="2" t="s">
        <v>3449</v>
      </c>
      <c r="L730" s="3">
        <v>56.85</v>
      </c>
      <c r="M730" s="3">
        <v>5.68</v>
      </c>
      <c r="N730" s="3">
        <v>2.98</v>
      </c>
      <c r="O730" s="3"/>
      <c r="P730" s="3">
        <v>3.98</v>
      </c>
      <c r="Q730" s="6">
        <f t="shared" si="1583"/>
        <v>52.17</v>
      </c>
      <c r="R730" s="3"/>
      <c r="S730" s="3">
        <v>31.75</v>
      </c>
      <c r="T730" s="3">
        <v>3.12</v>
      </c>
      <c r="U730" s="3">
        <v>4.99</v>
      </c>
      <c r="V730" s="3"/>
      <c r="W730" s="3"/>
      <c r="X730" s="2">
        <f t="shared" si="1584"/>
        <v>39.86</v>
      </c>
      <c r="Y730" s="6">
        <f t="shared" si="1585"/>
        <v>12.310000000000002</v>
      </c>
      <c r="Z730" s="2"/>
      <c r="AA730" s="2"/>
      <c r="AB730" s="2"/>
      <c r="AC730" s="3"/>
      <c r="AD730" s="2"/>
      <c r="AE730" s="2"/>
      <c r="AF730" s="2"/>
      <c r="AG730" s="2"/>
      <c r="AH730" s="2" t="s">
        <v>3786</v>
      </c>
      <c r="AI730" s="2" t="s">
        <v>3785</v>
      </c>
      <c r="AJ730" s="2"/>
      <c r="AK730" s="2"/>
      <c r="AL730" s="2" t="s">
        <v>3071</v>
      </c>
      <c r="AM730" s="16" t="s">
        <v>4020</v>
      </c>
      <c r="AN730" s="2" t="s">
        <v>16</v>
      </c>
      <c r="AO730" s="2" t="s">
        <v>3915</v>
      </c>
      <c r="AP730" s="2" t="s">
        <v>3519</v>
      </c>
      <c r="AQ730" s="2"/>
      <c r="AR730" s="16" t="s">
        <v>3822</v>
      </c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</row>
    <row r="731" spans="3:58" ht="17.25" customHeight="1">
      <c r="C731" s="1">
        <v>43958</v>
      </c>
      <c r="E731" s="2" t="s">
        <v>2979</v>
      </c>
      <c r="F731" s="2"/>
      <c r="G731" s="2" t="s">
        <v>3855</v>
      </c>
      <c r="H731" s="2" t="s">
        <v>3899</v>
      </c>
      <c r="I731" s="2"/>
      <c r="J731" s="2"/>
      <c r="K731" s="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2"/>
      <c r="AA731" s="2"/>
      <c r="AB731" s="2"/>
      <c r="AC731" s="3"/>
      <c r="AD731" s="2"/>
      <c r="AE731" s="2"/>
      <c r="AF731" s="2"/>
      <c r="AG731" s="2"/>
      <c r="AH731" s="2"/>
      <c r="AI731" s="2"/>
      <c r="AJ731" s="2"/>
      <c r="AK731" s="2"/>
      <c r="AL731" s="2"/>
      <c r="AM731" s="5" t="s">
        <v>493</v>
      </c>
      <c r="AN731" s="2"/>
      <c r="AO731" s="5" t="s">
        <v>493</v>
      </c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</row>
    <row r="732" spans="3:58" ht="17.25" customHeight="1">
      <c r="C732" s="1">
        <v>43958</v>
      </c>
      <c r="E732" s="2" t="s">
        <v>3016</v>
      </c>
      <c r="F732" s="2"/>
      <c r="G732" s="2" t="s">
        <v>4129</v>
      </c>
      <c r="H732" s="2" t="s">
        <v>8258</v>
      </c>
      <c r="I732" s="2"/>
      <c r="J732" s="2">
        <v>1</v>
      </c>
      <c r="K732" s="2" t="s">
        <v>3449</v>
      </c>
      <c r="L732" s="3">
        <v>72.5</v>
      </c>
      <c r="M732" s="3">
        <v>7.25</v>
      </c>
      <c r="N732" s="3">
        <v>3.75</v>
      </c>
      <c r="O732" s="3"/>
      <c r="P732" s="3">
        <f>5.98-5.98</f>
        <v>0</v>
      </c>
      <c r="Q732" s="6">
        <f t="shared" ref="Q732" si="1586">+L732-M732-N732+P732</f>
        <v>61.5</v>
      </c>
      <c r="R732" s="3"/>
      <c r="S732" s="3">
        <v>45.99</v>
      </c>
      <c r="T732" s="3"/>
      <c r="U732" s="3">
        <v>4.99</v>
      </c>
      <c r="V732" s="3"/>
      <c r="W732" s="3">
        <v>4.59</v>
      </c>
      <c r="X732" s="2">
        <f t="shared" ref="X732" si="1587">+S732+T732++U732+V732-W732</f>
        <v>46.39</v>
      </c>
      <c r="Y732" s="6">
        <f t="shared" ref="Y732" si="1588">+Q732-X732</f>
        <v>15.11</v>
      </c>
      <c r="Z732" s="2"/>
      <c r="AA732" s="2"/>
      <c r="AB732" s="2"/>
      <c r="AC732" s="3"/>
      <c r="AD732" s="2"/>
      <c r="AE732" s="2"/>
      <c r="AF732" s="2"/>
      <c r="AG732" s="2"/>
      <c r="AH732" s="2" t="s">
        <v>3778</v>
      </c>
      <c r="AI732" s="2" t="s">
        <v>3777</v>
      </c>
      <c r="AJ732" s="2"/>
      <c r="AK732" s="2"/>
      <c r="AL732" s="2" t="s">
        <v>2926</v>
      </c>
      <c r="AM732" s="16" t="s">
        <v>6041</v>
      </c>
      <c r="AN732" s="2"/>
      <c r="AO732" s="2" t="s">
        <v>5591</v>
      </c>
      <c r="AP732" s="2" t="s">
        <v>3839</v>
      </c>
      <c r="AQ732" s="2"/>
      <c r="AR732" s="16" t="s">
        <v>6042</v>
      </c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</row>
    <row r="733" spans="3:58" ht="17.25" customHeight="1">
      <c r="C733" s="1">
        <v>43958</v>
      </c>
      <c r="E733" s="2" t="s">
        <v>2979</v>
      </c>
      <c r="F733" s="2"/>
      <c r="G733" s="2" t="s">
        <v>3854</v>
      </c>
      <c r="H733" s="2" t="s">
        <v>3898</v>
      </c>
      <c r="I733" s="2"/>
      <c r="J733" s="2"/>
      <c r="K733" s="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2"/>
      <c r="AA733" s="2"/>
      <c r="AB733" s="2"/>
      <c r="AC733" s="3"/>
      <c r="AD733" s="2"/>
      <c r="AE733" s="2"/>
      <c r="AF733" s="2"/>
      <c r="AG733" s="2"/>
      <c r="AH733" s="2"/>
      <c r="AI733" s="2"/>
      <c r="AJ733" s="2"/>
      <c r="AK733" s="2"/>
      <c r="AL733" s="2"/>
      <c r="AM733" s="5" t="s">
        <v>493</v>
      </c>
      <c r="AN733" s="2"/>
      <c r="AO733" s="5" t="s">
        <v>493</v>
      </c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</row>
    <row r="734" spans="3:58" ht="17.25" customHeight="1">
      <c r="C734" s="1">
        <v>43958</v>
      </c>
      <c r="E734" s="2" t="s">
        <v>3723</v>
      </c>
      <c r="F734" s="2"/>
      <c r="G734" s="2" t="s">
        <v>3725</v>
      </c>
      <c r="H734" s="2" t="s">
        <v>3724</v>
      </c>
      <c r="I734" s="2"/>
      <c r="J734" s="2">
        <v>1</v>
      </c>
      <c r="K734" s="2" t="s">
        <v>3449</v>
      </c>
      <c r="L734" s="3">
        <v>81.5</v>
      </c>
      <c r="M734" s="3">
        <v>8.15</v>
      </c>
      <c r="N734" s="3">
        <v>4.1399999999999997</v>
      </c>
      <c r="O734" s="3">
        <v>0</v>
      </c>
      <c r="P734" s="3">
        <f>3.76-3.76</f>
        <v>0</v>
      </c>
      <c r="Q734" s="6">
        <f t="shared" ref="Q734:Q735" si="1589">+L734-M734-N734+P734</f>
        <v>69.209999999999994</v>
      </c>
      <c r="R734" s="3"/>
      <c r="S734" s="3">
        <v>65.19</v>
      </c>
      <c r="T734" s="3">
        <v>5.38</v>
      </c>
      <c r="U734" s="3"/>
      <c r="V734" s="3"/>
      <c r="W734" s="3">
        <f>6.51+0.54</f>
        <v>7.05</v>
      </c>
      <c r="X734" s="2">
        <f t="shared" ref="X734:X735" si="1590">+S734+T734++U734+V734-W734</f>
        <v>63.519999999999996</v>
      </c>
      <c r="Y734" s="6">
        <f t="shared" ref="Y734:Y735" si="1591">+Q734-X734</f>
        <v>5.6899999999999977</v>
      </c>
      <c r="Z734" s="2"/>
      <c r="AA734" s="2"/>
      <c r="AB734" s="2"/>
      <c r="AC734" s="3"/>
      <c r="AD734" s="2"/>
      <c r="AE734" s="2"/>
      <c r="AF734" s="2"/>
      <c r="AG734" s="2"/>
      <c r="AH734" s="2" t="s">
        <v>3778</v>
      </c>
      <c r="AI734" s="2" t="s">
        <v>3777</v>
      </c>
      <c r="AJ734" s="2"/>
      <c r="AK734" s="2"/>
      <c r="AL734" s="2" t="s">
        <v>3071</v>
      </c>
      <c r="AM734" s="16" t="s">
        <v>4039</v>
      </c>
      <c r="AN734" s="2">
        <v>1</v>
      </c>
      <c r="AO734" s="2" t="s">
        <v>4036</v>
      </c>
      <c r="AP734" s="2" t="s">
        <v>3696</v>
      </c>
      <c r="AQ734" s="2"/>
      <c r="AR734" s="16" t="s">
        <v>4037</v>
      </c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</row>
    <row r="735" spans="3:58" ht="17.25" customHeight="1">
      <c r="C735" s="1">
        <v>43958</v>
      </c>
      <c r="E735" s="2" t="s">
        <v>4109</v>
      </c>
      <c r="F735" s="2"/>
      <c r="G735" s="2" t="s">
        <v>4111</v>
      </c>
      <c r="H735" s="2" t="s">
        <v>4110</v>
      </c>
      <c r="I735" s="2"/>
      <c r="J735" s="2">
        <v>1</v>
      </c>
      <c r="K735" s="2"/>
      <c r="L735" s="3">
        <v>31.5</v>
      </c>
      <c r="M735" s="3">
        <v>3.15</v>
      </c>
      <c r="N735" s="3">
        <v>1.81</v>
      </c>
      <c r="O735" s="3"/>
      <c r="P735" s="3">
        <v>2.84</v>
      </c>
      <c r="Q735" s="6">
        <f t="shared" si="1589"/>
        <v>29.380000000000003</v>
      </c>
      <c r="R735" s="3"/>
      <c r="S735" s="3">
        <v>21.99</v>
      </c>
      <c r="T735" s="3"/>
      <c r="U735" s="3"/>
      <c r="V735" s="3"/>
      <c r="W735" s="3"/>
      <c r="X735" s="2">
        <f t="shared" si="1590"/>
        <v>21.99</v>
      </c>
      <c r="Y735" s="6">
        <f t="shared" si="1591"/>
        <v>7.3900000000000041</v>
      </c>
      <c r="Z735" s="2"/>
      <c r="AA735" s="2"/>
      <c r="AB735" s="2"/>
      <c r="AC735" s="3"/>
      <c r="AD735" s="2"/>
      <c r="AE735" s="2"/>
      <c r="AF735" s="2"/>
      <c r="AG735" s="2"/>
      <c r="AH735" s="2" t="s">
        <v>4115</v>
      </c>
      <c r="AI735" s="2" t="s">
        <v>4114</v>
      </c>
      <c r="AJ735" s="2"/>
      <c r="AK735" s="2"/>
      <c r="AL735" s="2" t="s">
        <v>2926</v>
      </c>
      <c r="AM735" s="16" t="s">
        <v>4221</v>
      </c>
      <c r="AN735" s="2"/>
      <c r="AO735" s="2" t="s">
        <v>4112</v>
      </c>
      <c r="AP735" s="2" t="s">
        <v>4113</v>
      </c>
      <c r="AQ735" s="2"/>
      <c r="AR735" s="16" t="s">
        <v>3795</v>
      </c>
      <c r="AS735" s="2" t="s">
        <v>4835</v>
      </c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</row>
    <row r="736" spans="3:58" ht="17.25" customHeight="1">
      <c r="C736" s="1">
        <v>43958</v>
      </c>
      <c r="E736" s="2" t="s">
        <v>3179</v>
      </c>
      <c r="F736" s="2"/>
      <c r="G736" s="2" t="s">
        <v>3722</v>
      </c>
      <c r="H736" s="2" t="s">
        <v>3721</v>
      </c>
      <c r="I736" s="2"/>
      <c r="J736" s="2">
        <v>1</v>
      </c>
      <c r="K736" s="2" t="s">
        <v>3449</v>
      </c>
      <c r="L736" s="3">
        <v>18.45</v>
      </c>
      <c r="M736" s="3">
        <v>1.84</v>
      </c>
      <c r="N736" s="3">
        <v>1.19</v>
      </c>
      <c r="O736" s="3">
        <v>0</v>
      </c>
      <c r="P736" s="3">
        <f>1.88-1.88</f>
        <v>0</v>
      </c>
      <c r="Q736" s="6">
        <f t="shared" ref="Q736:Q737" si="1592">+L736-M736-N736+P736</f>
        <v>15.42</v>
      </c>
      <c r="R736" s="3"/>
      <c r="S736" s="3">
        <v>12.33</v>
      </c>
      <c r="T736" s="3">
        <v>1.26</v>
      </c>
      <c r="U736" s="3"/>
      <c r="V736" s="3"/>
      <c r="W736" s="3">
        <v>0</v>
      </c>
      <c r="X736" s="2">
        <f t="shared" ref="X736:X737" si="1593">+S736+T736++U736+V736-W736</f>
        <v>13.59</v>
      </c>
      <c r="Y736" s="6">
        <f t="shared" ref="Y736:Y737" si="1594">+Q736-X736</f>
        <v>1.83</v>
      </c>
      <c r="Z736" s="2"/>
      <c r="AA736" s="2"/>
      <c r="AB736" s="2"/>
      <c r="AC736" s="3"/>
      <c r="AD736" s="2"/>
      <c r="AE736" s="2"/>
      <c r="AF736" s="2"/>
      <c r="AG736" s="2"/>
      <c r="AH736" s="2" t="s">
        <v>3761</v>
      </c>
      <c r="AI736" s="2" t="s">
        <v>3760</v>
      </c>
      <c r="AJ736" s="2"/>
      <c r="AK736" s="2"/>
      <c r="AL736" s="2" t="s">
        <v>4461</v>
      </c>
      <c r="AM736" s="16" t="s">
        <v>4460</v>
      </c>
      <c r="AN736" s="2"/>
      <c r="AO736" s="2" t="s">
        <v>3992</v>
      </c>
      <c r="AP736" s="2" t="s">
        <v>3914</v>
      </c>
      <c r="AQ736" s="2"/>
      <c r="AR736" s="16" t="s">
        <v>3993</v>
      </c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</row>
    <row r="737" spans="3:58" ht="17.25" customHeight="1">
      <c r="C737" s="1">
        <v>43958</v>
      </c>
      <c r="E737" s="2" t="s">
        <v>2979</v>
      </c>
      <c r="F737" s="2"/>
      <c r="G737" s="2" t="s">
        <v>3720</v>
      </c>
      <c r="H737" s="2" t="s">
        <v>3719</v>
      </c>
      <c r="I737" s="2"/>
      <c r="J737" s="2">
        <v>1</v>
      </c>
      <c r="K737" s="2" t="s">
        <v>3449</v>
      </c>
      <c r="L737" s="3">
        <v>56.85</v>
      </c>
      <c r="M737" s="3">
        <v>5.68</v>
      </c>
      <c r="N737" s="3">
        <v>3.04</v>
      </c>
      <c r="O737" s="3"/>
      <c r="P737" s="3">
        <f>5.4-5.4</f>
        <v>0</v>
      </c>
      <c r="Q737" s="6">
        <f t="shared" si="1592"/>
        <v>48.13</v>
      </c>
      <c r="R737" s="3"/>
      <c r="S737" s="3">
        <v>31.75</v>
      </c>
      <c r="T737" s="3">
        <v>2.85</v>
      </c>
      <c r="U737" s="3">
        <v>4.99</v>
      </c>
      <c r="V737" s="3"/>
      <c r="W737" s="3"/>
      <c r="X737" s="2">
        <f t="shared" si="1593"/>
        <v>39.590000000000003</v>
      </c>
      <c r="Y737" s="6">
        <f t="shared" si="1594"/>
        <v>8.5399999999999991</v>
      </c>
      <c r="Z737" s="2"/>
      <c r="AA737" s="2"/>
      <c r="AB737" s="2"/>
      <c r="AC737" s="3"/>
      <c r="AD737" s="2"/>
      <c r="AE737" s="2"/>
      <c r="AF737" s="2"/>
      <c r="AG737" s="2"/>
      <c r="AH737" s="2" t="s">
        <v>3788</v>
      </c>
      <c r="AI737" s="2" t="s">
        <v>3787</v>
      </c>
      <c r="AJ737" s="2"/>
      <c r="AK737" s="2"/>
      <c r="AL737" s="2" t="s">
        <v>3071</v>
      </c>
      <c r="AM737" s="16" t="s">
        <v>4018</v>
      </c>
      <c r="AN737" s="2"/>
      <c r="AO737" s="2" t="s">
        <v>3917</v>
      </c>
      <c r="AP737" s="2" t="s">
        <v>3519</v>
      </c>
      <c r="AQ737" s="2"/>
      <c r="AR737" s="16" t="s">
        <v>3822</v>
      </c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</row>
    <row r="738" spans="3:58" ht="17.25" customHeight="1">
      <c r="C738" s="1">
        <v>43958</v>
      </c>
      <c r="E738" s="2" t="s">
        <v>5708</v>
      </c>
      <c r="F738" s="2"/>
      <c r="G738" s="2" t="s">
        <v>3714</v>
      </c>
      <c r="H738" s="2" t="s">
        <v>3713</v>
      </c>
      <c r="I738" s="2"/>
      <c r="J738" s="2">
        <v>1</v>
      </c>
      <c r="K738" s="2" t="s">
        <v>3449</v>
      </c>
      <c r="L738" s="3">
        <v>72.5</v>
      </c>
      <c r="M738" s="3">
        <v>7.25</v>
      </c>
      <c r="N738" s="3">
        <v>3.71</v>
      </c>
      <c r="O738" s="3"/>
      <c r="P738" s="3"/>
      <c r="Q738" s="6">
        <f t="shared" ref="Q738:Q740" si="1595">+L738-M738-N738+P738</f>
        <v>61.54</v>
      </c>
      <c r="R738" s="3"/>
      <c r="S738" s="3">
        <v>45.99</v>
      </c>
      <c r="T738" s="3"/>
      <c r="U738" s="3">
        <v>4.99</v>
      </c>
      <c r="V738" s="3"/>
      <c r="W738" s="3">
        <v>4.59</v>
      </c>
      <c r="X738" s="2">
        <f t="shared" ref="X738" si="1596">+S738+T738++U738+V738-W738</f>
        <v>46.39</v>
      </c>
      <c r="Y738" s="6">
        <f t="shared" ref="Y738" si="1597">+Q738-X738</f>
        <v>15.149999999999999</v>
      </c>
      <c r="Z738" s="2"/>
      <c r="AA738" s="2"/>
      <c r="AB738" s="2"/>
      <c r="AC738" s="3"/>
      <c r="AD738" s="2"/>
      <c r="AE738" s="2"/>
      <c r="AF738" s="2"/>
      <c r="AG738" s="2"/>
      <c r="AH738" s="2" t="s">
        <v>3716</v>
      </c>
      <c r="AI738" s="2" t="s">
        <v>3715</v>
      </c>
      <c r="AJ738" s="2"/>
      <c r="AK738" s="2"/>
      <c r="AL738" s="2" t="s">
        <v>2926</v>
      </c>
      <c r="AM738" s="16" t="s">
        <v>6040</v>
      </c>
      <c r="AN738" s="2"/>
      <c r="AO738" s="2" t="s">
        <v>5590</v>
      </c>
      <c r="AP738" s="2" t="s">
        <v>3839</v>
      </c>
      <c r="AQ738" s="2"/>
      <c r="AR738" s="16" t="s">
        <v>6042</v>
      </c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</row>
    <row r="739" spans="3:58" ht="17.25" customHeight="1">
      <c r="C739" s="1">
        <v>43958</v>
      </c>
      <c r="E739" s="2" t="s">
        <v>2979</v>
      </c>
      <c r="F739" s="2"/>
      <c r="G739" s="2" t="s">
        <v>3712</v>
      </c>
      <c r="H739" s="2" t="s">
        <v>3942</v>
      </c>
      <c r="I739" s="2"/>
      <c r="J739" s="2">
        <v>0</v>
      </c>
      <c r="K739" s="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2"/>
      <c r="AA739" s="2"/>
      <c r="AB739" s="2"/>
      <c r="AC739" s="3"/>
      <c r="AD739" s="2"/>
      <c r="AE739" s="2"/>
      <c r="AF739" s="2"/>
      <c r="AG739" s="2"/>
      <c r="AH739" s="2"/>
      <c r="AI739" s="2"/>
      <c r="AJ739" s="2"/>
      <c r="AK739" s="2"/>
      <c r="AL739" s="2"/>
      <c r="AM739" s="5" t="s">
        <v>493</v>
      </c>
      <c r="AN739" s="2"/>
      <c r="AO739" s="5" t="s">
        <v>3256</v>
      </c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</row>
    <row r="740" spans="3:58" ht="17.25" customHeight="1">
      <c r="C740" s="1">
        <v>43958</v>
      </c>
      <c r="E740" s="2" t="s">
        <v>2979</v>
      </c>
      <c r="F740" s="2"/>
      <c r="G740" s="2" t="s">
        <v>3706</v>
      </c>
      <c r="H740" s="2" t="s">
        <v>3707</v>
      </c>
      <c r="I740" s="2"/>
      <c r="J740" s="2">
        <v>1</v>
      </c>
      <c r="K740" s="2" t="s">
        <v>3449</v>
      </c>
      <c r="L740" s="3">
        <v>56.85</v>
      </c>
      <c r="M740" s="3">
        <v>5.68</v>
      </c>
      <c r="N740" s="3">
        <v>3.04</v>
      </c>
      <c r="O740" s="3"/>
      <c r="P740" s="3">
        <f>5.4-5.4</f>
        <v>0</v>
      </c>
      <c r="Q740" s="6">
        <f t="shared" si="1595"/>
        <v>48.13</v>
      </c>
      <c r="R740" s="3"/>
      <c r="S740" s="3">
        <v>32</v>
      </c>
      <c r="T740" s="3">
        <v>3.51</v>
      </c>
      <c r="U740" s="3">
        <v>4.99</v>
      </c>
      <c r="V740" s="3"/>
      <c r="W740" s="3"/>
      <c r="X740" s="2">
        <f t="shared" ref="X740" si="1598">+S740+T740++U740+V740-W740</f>
        <v>40.5</v>
      </c>
      <c r="Y740" s="6">
        <f t="shared" ref="Y740" si="1599">+Q740-X740</f>
        <v>7.6300000000000026</v>
      </c>
      <c r="Z740" s="6">
        <f>SUM(Y722:Y740)</f>
        <v>105.92999999999998</v>
      </c>
      <c r="AA740" s="2"/>
      <c r="AB740" s="2"/>
      <c r="AC740" s="3"/>
      <c r="AD740" s="2"/>
      <c r="AE740" s="2"/>
      <c r="AF740" s="2"/>
      <c r="AG740" s="2"/>
      <c r="AH740" s="2" t="s">
        <v>3709</v>
      </c>
      <c r="AI740" s="2" t="s">
        <v>3708</v>
      </c>
      <c r="AJ740" s="2"/>
      <c r="AK740" s="2"/>
      <c r="AL740" s="2" t="s">
        <v>3071</v>
      </c>
      <c r="AM740" s="16" t="s">
        <v>4026</v>
      </c>
      <c r="AN740" s="2"/>
      <c r="AO740" s="2" t="s">
        <v>3900</v>
      </c>
      <c r="AP740" s="2" t="s">
        <v>3519</v>
      </c>
      <c r="AQ740" s="2"/>
      <c r="AR740" s="16" t="s">
        <v>3822</v>
      </c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</row>
    <row r="741" spans="3:58" ht="17.25" customHeight="1">
      <c r="C741" s="1">
        <v>43957</v>
      </c>
      <c r="E741" s="2" t="s">
        <v>3637</v>
      </c>
      <c r="F741" s="2"/>
      <c r="G741" s="2" t="s">
        <v>3639</v>
      </c>
      <c r="H741" s="2" t="s">
        <v>3640</v>
      </c>
      <c r="I741" s="2">
        <v>1</v>
      </c>
      <c r="J741" s="2">
        <v>1</v>
      </c>
      <c r="K741" s="2"/>
      <c r="L741" s="3">
        <v>29.35</v>
      </c>
      <c r="M741" s="3">
        <v>2.93</v>
      </c>
      <c r="N741" s="3">
        <v>1.67</v>
      </c>
      <c r="O741" s="3"/>
      <c r="P741" s="3">
        <f>2.64-2.64</f>
        <v>0</v>
      </c>
      <c r="Q741" s="6">
        <f t="shared" ref="Q741:Q743" si="1600">+L741-M741-N741+P741</f>
        <v>24.75</v>
      </c>
      <c r="R741" s="3"/>
      <c r="S741" s="3">
        <v>14.98</v>
      </c>
      <c r="T741" s="3">
        <v>0.9</v>
      </c>
      <c r="U741" s="3"/>
      <c r="V741" s="3"/>
      <c r="W741" s="3"/>
      <c r="X741" s="2">
        <f t="shared" ref="X741:X742" si="1601">+S741+T741++U741+V741-W741</f>
        <v>15.88</v>
      </c>
      <c r="Y741" s="6">
        <f t="shared" ref="Y741:Y742" si="1602">+Q741-X741</f>
        <v>8.8699999999999992</v>
      </c>
      <c r="Z741" s="2"/>
      <c r="AA741" s="2"/>
      <c r="AB741" s="2"/>
      <c r="AC741" s="3"/>
      <c r="AD741" s="2"/>
      <c r="AE741" s="2"/>
      <c r="AF741" s="2"/>
      <c r="AG741" s="2"/>
      <c r="AH741" s="2" t="s">
        <v>3642</v>
      </c>
      <c r="AI741" s="2" t="s">
        <v>3641</v>
      </c>
      <c r="AJ741" s="2"/>
      <c r="AK741" s="2"/>
      <c r="AL741" s="2" t="s">
        <v>2926</v>
      </c>
      <c r="AM741" s="22" t="s">
        <v>3858</v>
      </c>
      <c r="AN741" s="2"/>
      <c r="AO741" s="2" t="s">
        <v>3749</v>
      </c>
      <c r="AP741" s="16" t="s">
        <v>3751</v>
      </c>
      <c r="AQ741" s="16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</row>
    <row r="742" spans="3:58" ht="17.25" customHeight="1">
      <c r="C742" s="1">
        <v>43957</v>
      </c>
      <c r="E742" s="2" t="s">
        <v>2289</v>
      </c>
      <c r="F742" s="2"/>
      <c r="G742" s="2" t="s">
        <v>3645</v>
      </c>
      <c r="H742" s="2" t="s">
        <v>3646</v>
      </c>
      <c r="I742" s="2"/>
      <c r="J742" s="2">
        <v>1</v>
      </c>
      <c r="K742" s="2"/>
      <c r="L742" s="3">
        <v>32.5</v>
      </c>
      <c r="M742" s="3">
        <v>3.25</v>
      </c>
      <c r="N742" s="3">
        <v>1.83</v>
      </c>
      <c r="O742" s="3"/>
      <c r="P742" s="3">
        <f>2.36-2.36</f>
        <v>0</v>
      </c>
      <c r="Q742" s="6">
        <f t="shared" si="1600"/>
        <v>27.42</v>
      </c>
      <c r="R742" s="3"/>
      <c r="S742" s="3">
        <v>16.46</v>
      </c>
      <c r="T742" s="3">
        <v>1.19</v>
      </c>
      <c r="U742" s="3"/>
      <c r="V742" s="3"/>
      <c r="W742" s="3"/>
      <c r="X742" s="2">
        <f t="shared" si="1601"/>
        <v>17.650000000000002</v>
      </c>
      <c r="Y742" s="6">
        <f t="shared" si="1602"/>
        <v>9.77</v>
      </c>
      <c r="Z742" s="2"/>
      <c r="AA742" s="2"/>
      <c r="AB742" s="2"/>
      <c r="AC742" s="3"/>
      <c r="AD742" s="2"/>
      <c r="AE742" s="2"/>
      <c r="AF742" s="2"/>
      <c r="AG742" s="2"/>
      <c r="AH742" s="2" t="s">
        <v>3644</v>
      </c>
      <c r="AI742" s="2" t="s">
        <v>3643</v>
      </c>
      <c r="AJ742" s="2"/>
      <c r="AK742" s="2"/>
      <c r="AL742" s="2" t="s">
        <v>4453</v>
      </c>
      <c r="AM742" s="16" t="s">
        <v>4454</v>
      </c>
      <c r="AN742" s="2"/>
      <c r="AO742" s="2" t="s">
        <v>3681</v>
      </c>
      <c r="AP742" s="16" t="s">
        <v>3682</v>
      </c>
      <c r="AQ742" s="16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</row>
    <row r="743" spans="3:58" ht="17.25" customHeight="1">
      <c r="C743" s="1">
        <v>43957</v>
      </c>
      <c r="E743" s="2" t="s">
        <v>7</v>
      </c>
      <c r="F743" s="2"/>
      <c r="G743" s="2" t="s">
        <v>3649</v>
      </c>
      <c r="H743" s="2" t="s">
        <v>3650</v>
      </c>
      <c r="I743" s="2"/>
      <c r="J743" s="2">
        <v>1</v>
      </c>
      <c r="K743" s="2"/>
      <c r="L743" s="3">
        <v>30.5</v>
      </c>
      <c r="M743" s="3">
        <v>3.05</v>
      </c>
      <c r="N743" s="3">
        <v>1.74</v>
      </c>
      <c r="O743" s="3"/>
      <c r="P743" s="3">
        <f>2.14-2.14</f>
        <v>0</v>
      </c>
      <c r="Q743" s="6">
        <f t="shared" si="1600"/>
        <v>25.71</v>
      </c>
      <c r="R743" s="3"/>
      <c r="S743" s="3">
        <v>14.9</v>
      </c>
      <c r="T743" s="3">
        <v>1.39</v>
      </c>
      <c r="U743" s="3">
        <v>4.99</v>
      </c>
      <c r="V743" s="3"/>
      <c r="W743" s="3"/>
      <c r="X743" s="2">
        <f t="shared" ref="X743" si="1603">+S743+T743++U743+V743-W743</f>
        <v>21.28</v>
      </c>
      <c r="Y743" s="6">
        <f t="shared" ref="Y743" si="1604">+Q743-X743</f>
        <v>4.43</v>
      </c>
      <c r="Z743" s="2"/>
      <c r="AA743" s="2"/>
      <c r="AB743" s="2"/>
      <c r="AC743" s="3"/>
      <c r="AD743" s="2"/>
      <c r="AE743" s="2"/>
      <c r="AF743" s="2"/>
      <c r="AG743" s="2"/>
      <c r="AH743" s="2" t="s">
        <v>3648</v>
      </c>
      <c r="AI743" s="2" t="s">
        <v>3647</v>
      </c>
      <c r="AJ743" s="2"/>
      <c r="AK743" s="2"/>
      <c r="AL743" s="2" t="s">
        <v>3071</v>
      </c>
      <c r="AM743" s="16" t="s">
        <v>3944</v>
      </c>
      <c r="AN743" s="2"/>
      <c r="AO743" s="2" t="s">
        <v>3842</v>
      </c>
      <c r="AP743" s="2" t="s">
        <v>3519</v>
      </c>
      <c r="AQ743" s="2"/>
      <c r="AR743" s="16" t="s">
        <v>3822</v>
      </c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</row>
    <row r="744" spans="3:58" ht="17.25" customHeight="1">
      <c r="C744" s="1">
        <v>43957</v>
      </c>
      <c r="E744" s="2" t="s">
        <v>7</v>
      </c>
      <c r="F744" s="2"/>
      <c r="G744" s="2" t="s">
        <v>3651</v>
      </c>
      <c r="H744" s="2" t="s">
        <v>3652</v>
      </c>
      <c r="I744" s="2"/>
      <c r="J744" s="2">
        <v>1</v>
      </c>
      <c r="K744" s="2"/>
      <c r="L744" s="3">
        <v>30.5</v>
      </c>
      <c r="M744" s="3">
        <v>3.05</v>
      </c>
      <c r="N744" s="3">
        <v>1.72</v>
      </c>
      <c r="O744" s="3"/>
      <c r="P744" s="3">
        <f>1.71-1.71</f>
        <v>0</v>
      </c>
      <c r="Q744" s="6">
        <f t="shared" ref="Q744:Q746" si="1605">+L744-M744-N744+P744</f>
        <v>25.73</v>
      </c>
      <c r="R744" s="3"/>
      <c r="S744" s="3">
        <v>14.9</v>
      </c>
      <c r="T744" s="3">
        <v>1.25</v>
      </c>
      <c r="U744" s="3">
        <v>4.99</v>
      </c>
      <c r="V744" s="3"/>
      <c r="W744" s="3"/>
      <c r="X744" s="2">
        <f t="shared" ref="X744:X746" si="1606">+S744+T744++U744+V744-W744</f>
        <v>21.14</v>
      </c>
      <c r="Y744" s="6">
        <f t="shared" ref="Y744:Y746" si="1607">+Q744-X744</f>
        <v>4.59</v>
      </c>
      <c r="Z744" s="2"/>
      <c r="AA744" s="2"/>
      <c r="AB744" s="2"/>
      <c r="AC744" s="3"/>
      <c r="AD744" s="2"/>
      <c r="AE744" s="2"/>
      <c r="AF744" s="2"/>
      <c r="AG744" s="2"/>
      <c r="AH744" s="2" t="s">
        <v>3654</v>
      </c>
      <c r="AI744" s="2" t="s">
        <v>3653</v>
      </c>
      <c r="AJ744" s="2"/>
      <c r="AK744" s="2"/>
      <c r="AL744" s="2" t="s">
        <v>3071</v>
      </c>
      <c r="AM744" s="16" t="s">
        <v>4023</v>
      </c>
      <c r="AN744" s="2"/>
      <c r="AO744" s="2" t="s">
        <v>3841</v>
      </c>
      <c r="AP744" s="2" t="s">
        <v>3519</v>
      </c>
      <c r="AQ744" s="2"/>
      <c r="AR744" s="16" t="s">
        <v>3822</v>
      </c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</row>
    <row r="745" spans="3:58" ht="17.25" customHeight="1">
      <c r="C745" s="1">
        <v>43957</v>
      </c>
      <c r="E745" s="2" t="s">
        <v>3119</v>
      </c>
      <c r="F745" s="2"/>
      <c r="G745" s="2" t="s">
        <v>3655</v>
      </c>
      <c r="H745" s="2" t="s">
        <v>3656</v>
      </c>
      <c r="I745" s="2"/>
      <c r="J745" s="2">
        <v>1</v>
      </c>
      <c r="K745" s="2" t="s">
        <v>3449</v>
      </c>
      <c r="L745" s="3">
        <v>22.85</v>
      </c>
      <c r="M745" s="3">
        <v>2.2799999999999998</v>
      </c>
      <c r="N745" s="3">
        <v>1.38</v>
      </c>
      <c r="O745" s="3"/>
      <c r="P745" s="3">
        <v>1.6</v>
      </c>
      <c r="Q745" s="6">
        <f t="shared" si="1605"/>
        <v>20.790000000000003</v>
      </c>
      <c r="R745" s="3"/>
      <c r="S745" s="3">
        <v>11.95</v>
      </c>
      <c r="T745" s="3">
        <v>0.78</v>
      </c>
      <c r="U745" s="3"/>
      <c r="V745" s="3"/>
      <c r="W745" s="3"/>
      <c r="X745" s="3">
        <f t="shared" si="1606"/>
        <v>12.729999999999999</v>
      </c>
      <c r="Y745" s="3">
        <f t="shared" si="1607"/>
        <v>8.0600000000000041</v>
      </c>
      <c r="Z745" s="2"/>
      <c r="AA745" s="2"/>
      <c r="AB745" s="2"/>
      <c r="AC745" s="3"/>
      <c r="AD745" s="2"/>
      <c r="AE745" s="2"/>
      <c r="AF745" s="2"/>
      <c r="AG745" s="2"/>
      <c r="AH745" s="2" t="s">
        <v>3658</v>
      </c>
      <c r="AI745" s="2" t="s">
        <v>3657</v>
      </c>
      <c r="AJ745" s="2"/>
      <c r="AK745" s="2"/>
      <c r="AL745" s="2" t="s">
        <v>4228</v>
      </c>
      <c r="AM745" s="2" t="s">
        <v>4365</v>
      </c>
      <c r="AN745" s="2"/>
      <c r="AO745" s="2" t="s">
        <v>3988</v>
      </c>
      <c r="AP745" s="2" t="s">
        <v>3038</v>
      </c>
      <c r="AQ745" s="2"/>
      <c r="AR745" s="16" t="s">
        <v>3989</v>
      </c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</row>
    <row r="746" spans="3:58" ht="17.25" customHeight="1">
      <c r="C746" s="1">
        <v>43957</v>
      </c>
      <c r="E746" s="2" t="s">
        <v>2979</v>
      </c>
      <c r="F746" s="2"/>
      <c r="G746" s="2" t="s">
        <v>3659</v>
      </c>
      <c r="H746" s="2" t="s">
        <v>3660</v>
      </c>
      <c r="I746" s="2"/>
      <c r="J746" s="2">
        <v>1</v>
      </c>
      <c r="K746" s="2" t="s">
        <v>3449</v>
      </c>
      <c r="L746" s="3">
        <v>56.85</v>
      </c>
      <c r="M746" s="3">
        <v>5.68</v>
      </c>
      <c r="N746" s="3">
        <v>2.98</v>
      </c>
      <c r="O746" s="3"/>
      <c r="P746" s="3">
        <v>3.98</v>
      </c>
      <c r="Q746" s="6">
        <f t="shared" si="1605"/>
        <v>52.17</v>
      </c>
      <c r="R746" s="3"/>
      <c r="S746" s="3">
        <v>38.78</v>
      </c>
      <c r="T746" s="3">
        <v>2.71</v>
      </c>
      <c r="U746" s="3"/>
      <c r="V746" s="3"/>
      <c r="W746" s="3"/>
      <c r="X746" s="2">
        <f t="shared" si="1606"/>
        <v>41.49</v>
      </c>
      <c r="Y746" s="6">
        <f t="shared" si="1607"/>
        <v>10.68</v>
      </c>
      <c r="Z746" s="2"/>
      <c r="AA746" s="2"/>
      <c r="AB746" s="2"/>
      <c r="AC746" s="3"/>
      <c r="AD746" s="2"/>
      <c r="AE746" s="2"/>
      <c r="AF746" s="2"/>
      <c r="AG746" s="2"/>
      <c r="AH746" s="2" t="s">
        <v>3662</v>
      </c>
      <c r="AI746" s="2" t="s">
        <v>3661</v>
      </c>
      <c r="AJ746" s="2"/>
      <c r="AK746" s="2"/>
      <c r="AL746" s="2" t="s">
        <v>3071</v>
      </c>
      <c r="AM746" s="16" t="s">
        <v>3945</v>
      </c>
      <c r="AN746" s="2"/>
      <c r="AO746" s="2" t="s">
        <v>3829</v>
      </c>
      <c r="AP746" s="2" t="s">
        <v>3519</v>
      </c>
      <c r="AQ746" s="2"/>
      <c r="AR746" s="16" t="s">
        <v>3822</v>
      </c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</row>
    <row r="747" spans="3:58" ht="17.25" customHeight="1">
      <c r="C747" s="1">
        <v>43957</v>
      </c>
      <c r="E747" s="2" t="s">
        <v>2979</v>
      </c>
      <c r="F747" s="2"/>
      <c r="G747" s="2" t="s">
        <v>3790</v>
      </c>
      <c r="H747" s="2" t="s">
        <v>3940</v>
      </c>
      <c r="I747" s="2"/>
      <c r="J747" s="2">
        <v>1</v>
      </c>
      <c r="K747" s="2" t="s">
        <v>3449</v>
      </c>
      <c r="L747" s="3">
        <v>56.85</v>
      </c>
      <c r="M747" s="3">
        <v>5.68</v>
      </c>
      <c r="N747" s="3">
        <v>2.8</v>
      </c>
      <c r="O747" s="3"/>
      <c r="P747" s="3">
        <v>0</v>
      </c>
      <c r="Q747" s="6">
        <f t="shared" ref="Q747:Q748" si="1608">+L747-M747-N747+P747</f>
        <v>48.370000000000005</v>
      </c>
      <c r="R747" s="3"/>
      <c r="S747" s="3">
        <v>38.78</v>
      </c>
      <c r="T747" s="3">
        <v>4.45</v>
      </c>
      <c r="U747" s="3"/>
      <c r="V747" s="3"/>
      <c r="W747" s="3"/>
      <c r="X747" s="2">
        <f t="shared" ref="X747:X748" si="1609">+S747+T747++U747+V747-W747</f>
        <v>43.230000000000004</v>
      </c>
      <c r="Y747" s="6">
        <f t="shared" ref="Y747:Y748" si="1610">+Q747-X747</f>
        <v>5.1400000000000006</v>
      </c>
      <c r="Z747" s="2"/>
      <c r="AA747" s="2"/>
      <c r="AB747" s="2"/>
      <c r="AC747" s="3"/>
      <c r="AD747" s="2"/>
      <c r="AE747" s="2"/>
      <c r="AF747" s="2"/>
      <c r="AG747" s="2"/>
      <c r="AH747" s="2" t="s">
        <v>3664</v>
      </c>
      <c r="AI747" s="2" t="s">
        <v>3663</v>
      </c>
      <c r="AJ747" s="2"/>
      <c r="AK747" s="2"/>
      <c r="AL747" s="2"/>
      <c r="AM747" s="5" t="s">
        <v>493</v>
      </c>
      <c r="AN747" s="2"/>
      <c r="AO747" s="5" t="s">
        <v>3256</v>
      </c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</row>
    <row r="748" spans="3:58" ht="17.25" customHeight="1">
      <c r="C748" s="1">
        <v>43957</v>
      </c>
      <c r="E748" s="2" t="s">
        <v>2979</v>
      </c>
      <c r="F748" s="2" t="s">
        <v>3903</v>
      </c>
      <c r="G748" s="2" t="s">
        <v>3633</v>
      </c>
      <c r="H748" s="2" t="s">
        <v>4031</v>
      </c>
      <c r="I748" s="2"/>
      <c r="J748" s="2">
        <v>1</v>
      </c>
      <c r="K748" s="2"/>
      <c r="L748" s="3">
        <v>56.85</v>
      </c>
      <c r="M748" s="3">
        <v>5.68</v>
      </c>
      <c r="N748" s="3">
        <v>2.8</v>
      </c>
      <c r="O748" s="3"/>
      <c r="P748" s="3">
        <v>0</v>
      </c>
      <c r="Q748" s="6">
        <f t="shared" si="1608"/>
        <v>48.370000000000005</v>
      </c>
      <c r="R748" s="3"/>
      <c r="S748" s="3">
        <v>38.78</v>
      </c>
      <c r="T748" s="3">
        <v>4.46</v>
      </c>
      <c r="U748" s="3"/>
      <c r="V748" s="3"/>
      <c r="W748" s="3"/>
      <c r="X748" s="2">
        <f t="shared" si="1609"/>
        <v>43.24</v>
      </c>
      <c r="Y748" s="6">
        <f t="shared" si="1610"/>
        <v>5.1300000000000026</v>
      </c>
      <c r="Z748" s="2"/>
      <c r="AA748" s="2"/>
      <c r="AB748" s="2"/>
      <c r="AC748" s="3"/>
      <c r="AD748" s="2"/>
      <c r="AE748" s="2"/>
      <c r="AF748" s="2"/>
      <c r="AG748" s="2"/>
      <c r="AH748" s="2" t="s">
        <v>3666</v>
      </c>
      <c r="AI748" s="2" t="s">
        <v>3665</v>
      </c>
      <c r="AJ748" s="2"/>
      <c r="AK748" s="2"/>
      <c r="AL748" s="2"/>
      <c r="AM748" s="5" t="s">
        <v>493</v>
      </c>
      <c r="AN748" s="2"/>
      <c r="AO748" s="5" t="s">
        <v>3256</v>
      </c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</row>
    <row r="749" spans="3:58" ht="17.25" customHeight="1">
      <c r="C749" s="1">
        <v>43957</v>
      </c>
      <c r="E749" s="2" t="s">
        <v>2979</v>
      </c>
      <c r="F749" s="2"/>
      <c r="G749" t="s">
        <v>3626</v>
      </c>
      <c r="H749" s="2" t="s">
        <v>3625</v>
      </c>
      <c r="I749" s="2"/>
      <c r="J749" s="2">
        <v>1</v>
      </c>
      <c r="K749" s="2" t="s">
        <v>3449</v>
      </c>
      <c r="L749" s="3">
        <v>56.85</v>
      </c>
      <c r="M749" s="3">
        <v>5.68</v>
      </c>
      <c r="N749" s="3">
        <v>2.97</v>
      </c>
      <c r="O749" s="3"/>
      <c r="P749" s="3">
        <f>3.77-3.77</f>
        <v>0</v>
      </c>
      <c r="Q749" s="6">
        <f t="shared" ref="Q749:Q750" si="1611">+L749-M749-N749+P749</f>
        <v>48.2</v>
      </c>
      <c r="R749" s="3"/>
      <c r="S749" s="3">
        <v>32.79</v>
      </c>
      <c r="T749" s="3">
        <v>2.5</v>
      </c>
      <c r="U749" s="3">
        <v>4.99</v>
      </c>
      <c r="V749" s="3"/>
      <c r="W749" s="3"/>
      <c r="X749" s="2">
        <f t="shared" ref="X749" si="1612">+S749+T749++U749+V749-W749</f>
        <v>40.28</v>
      </c>
      <c r="Y749" s="6">
        <f t="shared" ref="Y749" si="1613">+Q749-X749</f>
        <v>7.9200000000000017</v>
      </c>
      <c r="Z749" s="2"/>
      <c r="AA749" s="2"/>
      <c r="AB749" s="2"/>
      <c r="AC749" s="3"/>
      <c r="AD749" s="2"/>
      <c r="AE749" s="2"/>
      <c r="AF749" s="2"/>
      <c r="AG749" s="2"/>
      <c r="AH749" s="2" t="s">
        <v>3628</v>
      </c>
      <c r="AI749" s="2" t="s">
        <v>3627</v>
      </c>
      <c r="AJ749" s="2"/>
      <c r="AK749" s="2"/>
      <c r="AL749" s="2" t="s">
        <v>3071</v>
      </c>
      <c r="AM749" s="16" t="s">
        <v>3950</v>
      </c>
      <c r="AN749" s="2"/>
      <c r="AO749" s="2" t="s">
        <v>3830</v>
      </c>
      <c r="AP749" s="2" t="s">
        <v>3519</v>
      </c>
      <c r="AQ749" s="2"/>
      <c r="AR749" s="16" t="s">
        <v>3822</v>
      </c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</row>
    <row r="750" spans="3:58" ht="17.25" customHeight="1">
      <c r="C750" s="1">
        <v>43957</v>
      </c>
      <c r="E750" s="2" t="s">
        <v>3024</v>
      </c>
      <c r="F750" s="2"/>
      <c r="G750" s="2" t="s">
        <v>3624</v>
      </c>
      <c r="H750" s="2" t="s">
        <v>3623</v>
      </c>
      <c r="I750" s="2"/>
      <c r="J750" s="2">
        <v>1</v>
      </c>
      <c r="K750" s="2"/>
      <c r="L750" s="3">
        <v>29.35</v>
      </c>
      <c r="M750" s="3">
        <v>2.93</v>
      </c>
      <c r="N750" s="3">
        <v>1.71</v>
      </c>
      <c r="O750" s="3"/>
      <c r="P750" s="3">
        <f>2.64-2.64</f>
        <v>0</v>
      </c>
      <c r="Q750" s="6">
        <f t="shared" si="1611"/>
        <v>24.71</v>
      </c>
      <c r="R750" s="3"/>
      <c r="S750" s="3">
        <v>14.98</v>
      </c>
      <c r="T750" s="3">
        <v>1.35</v>
      </c>
      <c r="U750" s="3"/>
      <c r="V750" s="3"/>
      <c r="W750" s="3"/>
      <c r="X750" s="2">
        <f t="shared" ref="X750" si="1614">+S750+T750++U750+V750-W750</f>
        <v>16.330000000000002</v>
      </c>
      <c r="Y750" s="6">
        <f t="shared" ref="Y750" si="1615">+Q750-X750</f>
        <v>8.379999999999999</v>
      </c>
      <c r="Z750" s="2"/>
      <c r="AA750" s="2"/>
      <c r="AB750" s="2"/>
      <c r="AC750" s="3"/>
      <c r="AD750" s="2"/>
      <c r="AE750" s="2"/>
      <c r="AF750" s="2"/>
      <c r="AG750" s="2"/>
      <c r="AH750" s="2" t="s">
        <v>3630</v>
      </c>
      <c r="AI750" s="2" t="s">
        <v>3629</v>
      </c>
      <c r="AJ750" s="2"/>
      <c r="AK750" s="2"/>
      <c r="AL750" s="2" t="s">
        <v>2926</v>
      </c>
      <c r="AM750" s="16" t="s">
        <v>4162</v>
      </c>
      <c r="AN750" s="2"/>
      <c r="AO750" s="2" t="s">
        <v>3749</v>
      </c>
      <c r="AR750" s="16" t="s">
        <v>3750</v>
      </c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</row>
    <row r="751" spans="3:58" ht="17.25" customHeight="1">
      <c r="C751" s="1">
        <v>43957</v>
      </c>
      <c r="E751" s="2" t="s">
        <v>3616</v>
      </c>
      <c r="F751" s="2"/>
      <c r="G751" s="2" t="s">
        <v>680</v>
      </c>
      <c r="H751" s="2" t="s">
        <v>3615</v>
      </c>
      <c r="I751" s="2"/>
      <c r="J751" s="2">
        <v>1</v>
      </c>
      <c r="K751" s="2" t="s">
        <v>3449</v>
      </c>
      <c r="L751" s="3">
        <v>26.9</v>
      </c>
      <c r="M751" s="3">
        <v>2.69</v>
      </c>
      <c r="N751" s="3">
        <v>1.56</v>
      </c>
      <c r="O751" s="3">
        <v>0</v>
      </c>
      <c r="P751" s="3">
        <f>1.68-1.68</f>
        <v>0</v>
      </c>
      <c r="Q751" s="6">
        <f t="shared" ref="Q751:Q753" si="1616">+L751-M751-N751+P751</f>
        <v>22.65</v>
      </c>
      <c r="R751" s="3"/>
      <c r="S751" s="3">
        <v>13.97</v>
      </c>
      <c r="T751" s="3">
        <v>0.98</v>
      </c>
      <c r="U751" s="3"/>
      <c r="V751" s="3"/>
      <c r="W751" s="3"/>
      <c r="X751" s="2">
        <f t="shared" ref="X751" si="1617">+S751+T751++U751+V751-W751</f>
        <v>14.950000000000001</v>
      </c>
      <c r="Y751" s="6">
        <f t="shared" ref="Y751" si="1618">+Q751-X751</f>
        <v>7.6999999999999975</v>
      </c>
      <c r="Z751" s="2"/>
      <c r="AA751" s="2"/>
      <c r="AB751" s="2"/>
      <c r="AC751" s="3"/>
      <c r="AD751" s="2"/>
      <c r="AE751" s="2"/>
      <c r="AF751" s="2"/>
      <c r="AG751" s="2"/>
      <c r="AH751" s="2" t="s">
        <v>678</v>
      </c>
      <c r="AI751" s="2" t="s">
        <v>677</v>
      </c>
      <c r="AJ751" s="2"/>
      <c r="AK751" s="2"/>
      <c r="AL751" s="2" t="s">
        <v>2922</v>
      </c>
      <c r="AM751" s="16" t="s">
        <v>4330</v>
      </c>
      <c r="AN751" s="2"/>
      <c r="AO751" s="2" t="s">
        <v>3738</v>
      </c>
      <c r="AP751" s="2"/>
      <c r="AQ751" s="2"/>
      <c r="AR751" s="16" t="s">
        <v>3739</v>
      </c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</row>
    <row r="752" spans="3:58" ht="17.25" customHeight="1">
      <c r="C752" s="1">
        <v>43957</v>
      </c>
      <c r="E752" s="2" t="s">
        <v>3614</v>
      </c>
      <c r="F752" s="2"/>
      <c r="G752" s="2" t="s">
        <v>3613</v>
      </c>
      <c r="H752" s="2" t="s">
        <v>3612</v>
      </c>
      <c r="I752" s="2"/>
      <c r="J752" s="2">
        <v>1</v>
      </c>
      <c r="K752" s="2" t="s">
        <v>3449</v>
      </c>
      <c r="L752" s="3">
        <v>72.3</v>
      </c>
      <c r="M752" s="3">
        <v>7.23</v>
      </c>
      <c r="N752" s="3">
        <v>3.74</v>
      </c>
      <c r="O752" s="3"/>
      <c r="P752" s="3">
        <f>5.78-5.78</f>
        <v>0</v>
      </c>
      <c r="Q752" s="6">
        <f t="shared" si="1616"/>
        <v>61.329999999999991</v>
      </c>
      <c r="R752" s="3"/>
      <c r="S752" s="3">
        <v>47.98</v>
      </c>
      <c r="T752" s="3">
        <v>3.84</v>
      </c>
      <c r="U752" s="3"/>
      <c r="V752" s="3"/>
      <c r="W752" s="3"/>
      <c r="X752" s="2">
        <f t="shared" ref="X752:X753" si="1619">+S752+T752++U752+V752-W752</f>
        <v>51.819999999999993</v>
      </c>
      <c r="Y752" s="6">
        <f t="shared" ref="Y752:Y753" si="1620">+Q752-X752</f>
        <v>9.509999999999998</v>
      </c>
      <c r="Z752" s="2"/>
      <c r="AA752" s="2"/>
      <c r="AB752" s="2"/>
      <c r="AC752" s="3"/>
      <c r="AD752" s="2"/>
      <c r="AE752" s="2"/>
      <c r="AF752" s="2"/>
      <c r="AG752" s="2"/>
      <c r="AH752" s="2" t="s">
        <v>3618</v>
      </c>
      <c r="AI752" s="2" t="s">
        <v>3617</v>
      </c>
      <c r="AJ752" s="2"/>
      <c r="AK752" s="2"/>
      <c r="AL752" s="2" t="s">
        <v>2926</v>
      </c>
      <c r="AM752" s="16" t="s">
        <v>4350</v>
      </c>
      <c r="AN752" s="2"/>
      <c r="AO752" s="2" t="s">
        <v>3937</v>
      </c>
      <c r="AP752" s="2"/>
      <c r="AQ752" s="2"/>
      <c r="AR752" s="16" t="s">
        <v>3938</v>
      </c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</row>
    <row r="753" spans="3:58" ht="17.25" customHeight="1">
      <c r="C753" s="1">
        <v>43957</v>
      </c>
      <c r="E753" s="2" t="s">
        <v>2979</v>
      </c>
      <c r="F753" s="2"/>
      <c r="G753" s="2" t="s">
        <v>3611</v>
      </c>
      <c r="H753" s="2" t="s">
        <v>3941</v>
      </c>
      <c r="I753" s="2"/>
      <c r="J753" s="2">
        <v>1</v>
      </c>
      <c r="K753" s="2" t="s">
        <v>3449</v>
      </c>
      <c r="L753" s="3">
        <v>56.35</v>
      </c>
      <c r="M753" s="3">
        <v>5.63</v>
      </c>
      <c r="N753" s="3">
        <v>2.78</v>
      </c>
      <c r="O753" s="3"/>
      <c r="P753" s="3"/>
      <c r="Q753" s="6">
        <f t="shared" si="1616"/>
        <v>47.94</v>
      </c>
      <c r="R753" s="3"/>
      <c r="S753" s="3">
        <v>38.78</v>
      </c>
      <c r="T753" s="3">
        <v>4.5599999999999996</v>
      </c>
      <c r="U753" s="3"/>
      <c r="V753" s="3"/>
      <c r="W753" s="3"/>
      <c r="X753" s="2">
        <f t="shared" si="1619"/>
        <v>43.34</v>
      </c>
      <c r="Y753" s="6">
        <f t="shared" si="1620"/>
        <v>4.5999999999999943</v>
      </c>
      <c r="Z753" s="2"/>
      <c r="AA753" s="2"/>
      <c r="AB753" s="2"/>
      <c r="AC753" s="3"/>
      <c r="AD753" s="2"/>
      <c r="AE753" s="2"/>
      <c r="AF753" s="2"/>
      <c r="AG753" s="2"/>
      <c r="AH753" s="2" t="s">
        <v>3620</v>
      </c>
      <c r="AI753" s="2" t="s">
        <v>3619</v>
      </c>
      <c r="AJ753" s="2"/>
      <c r="AK753" s="2"/>
      <c r="AL753" s="2"/>
      <c r="AM753" s="5" t="s">
        <v>493</v>
      </c>
      <c r="AN753" s="2"/>
      <c r="AO753" s="5" t="s">
        <v>3256</v>
      </c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</row>
    <row r="754" spans="3:58" ht="17.25" customHeight="1">
      <c r="C754" s="1">
        <v>43957</v>
      </c>
      <c r="E754" s="2" t="s">
        <v>2979</v>
      </c>
      <c r="F754" s="2"/>
      <c r="G754" s="2" t="s">
        <v>3827</v>
      </c>
      <c r="H754" s="2" t="s">
        <v>3596</v>
      </c>
      <c r="I754" s="2"/>
      <c r="J754" s="2">
        <v>1</v>
      </c>
      <c r="K754" s="2" t="s">
        <v>3449</v>
      </c>
      <c r="L754" s="3">
        <v>56.35</v>
      </c>
      <c r="M754" s="3">
        <v>5.63</v>
      </c>
      <c r="N754" s="3">
        <v>2.78</v>
      </c>
      <c r="O754" s="3"/>
      <c r="P754" s="3">
        <v>0</v>
      </c>
      <c r="Q754" s="6">
        <f t="shared" ref="Q754" si="1621">+L754-M754-N754+P754</f>
        <v>47.94</v>
      </c>
      <c r="R754" s="3"/>
      <c r="S754" s="3">
        <v>32.78</v>
      </c>
      <c r="T754" s="3">
        <v>0</v>
      </c>
      <c r="U754" s="3">
        <v>4.99</v>
      </c>
      <c r="V754" s="3"/>
      <c r="W754" s="3"/>
      <c r="X754" s="2">
        <f t="shared" ref="X754" si="1622">+S754+T754++U754+V754-W754</f>
        <v>37.770000000000003</v>
      </c>
      <c r="Y754" s="6">
        <f t="shared" ref="Y754" si="1623">+Q754-X754</f>
        <v>10.169999999999995</v>
      </c>
      <c r="Z754" s="2"/>
      <c r="AA754" s="2"/>
      <c r="AB754" s="2"/>
      <c r="AC754" s="3"/>
      <c r="AD754" s="2"/>
      <c r="AE754" s="2"/>
      <c r="AF754" s="2"/>
      <c r="AG754" s="2"/>
      <c r="AH754" s="2" t="s">
        <v>3622</v>
      </c>
      <c r="AI754" s="2" t="s">
        <v>3621</v>
      </c>
      <c r="AJ754" s="2"/>
      <c r="AK754" s="2"/>
      <c r="AL754" s="2" t="s">
        <v>3071</v>
      </c>
      <c r="AM754" s="16" t="s">
        <v>3946</v>
      </c>
      <c r="AN754" s="2"/>
      <c r="AO754" s="2" t="s">
        <v>3828</v>
      </c>
      <c r="AP754" s="2" t="s">
        <v>3519</v>
      </c>
      <c r="AQ754" s="2"/>
      <c r="AR754" s="16" t="s">
        <v>3822</v>
      </c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</row>
    <row r="755" spans="3:58" ht="17.25" customHeight="1">
      <c r="C755" s="1">
        <v>43957</v>
      </c>
      <c r="E755" s="2" t="s">
        <v>2979</v>
      </c>
      <c r="F755" s="2"/>
      <c r="G755" s="2" t="s">
        <v>3593</v>
      </c>
      <c r="H755" s="2" t="s">
        <v>3943</v>
      </c>
      <c r="I755" s="2"/>
      <c r="J755" s="2">
        <v>1</v>
      </c>
      <c r="K755" s="2"/>
      <c r="L755" s="3">
        <v>56.35</v>
      </c>
      <c r="M755" s="3">
        <v>5.63</v>
      </c>
      <c r="N755" s="3">
        <v>2.78</v>
      </c>
      <c r="O755" s="3"/>
      <c r="P755" s="3">
        <v>0</v>
      </c>
      <c r="Q755" s="6">
        <f t="shared" ref="Q755" si="1624">+L755-M755-N755+P755</f>
        <v>47.94</v>
      </c>
      <c r="R755" s="3"/>
      <c r="S755" s="3">
        <v>38.78</v>
      </c>
      <c r="T755" s="3">
        <v>4.5599999999999996</v>
      </c>
      <c r="U755" s="3"/>
      <c r="V755" s="3"/>
      <c r="W755" s="3"/>
      <c r="X755" s="2">
        <f t="shared" ref="X755" si="1625">+S755+T755++U755+V755-W755</f>
        <v>43.34</v>
      </c>
      <c r="Y755" s="6">
        <f t="shared" ref="Y755" si="1626">+Q755-X755</f>
        <v>4.5999999999999943</v>
      </c>
      <c r="Z755" s="6">
        <f>SUM(Y741:Y755)</f>
        <v>109.54999999999998</v>
      </c>
      <c r="AA755" s="2"/>
      <c r="AB755" s="2"/>
      <c r="AC755" s="3"/>
      <c r="AD755" s="2"/>
      <c r="AE755" s="2"/>
      <c r="AF755" s="2"/>
      <c r="AG755" s="2"/>
      <c r="AH755" s="2" t="s">
        <v>3622</v>
      </c>
      <c r="AI755" s="2" t="s">
        <v>3621</v>
      </c>
      <c r="AJ755" s="2"/>
      <c r="AK755" s="2"/>
      <c r="AL755" s="2"/>
      <c r="AM755" s="5" t="s">
        <v>493</v>
      </c>
      <c r="AN755" s="2"/>
      <c r="AO755" s="5" t="s">
        <v>3256</v>
      </c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</row>
    <row r="756" spans="3:58" ht="17.25" customHeight="1">
      <c r="C756" s="1">
        <v>43956</v>
      </c>
      <c r="E756" s="2" t="s">
        <v>2979</v>
      </c>
      <c r="F756" s="2"/>
      <c r="G756" s="2" t="s">
        <v>3573</v>
      </c>
      <c r="H756" s="2" t="s">
        <v>3572</v>
      </c>
      <c r="I756" s="2"/>
      <c r="J756" s="2">
        <v>1</v>
      </c>
      <c r="K756" s="2" t="s">
        <v>3449</v>
      </c>
      <c r="L756" s="3">
        <v>56.35</v>
      </c>
      <c r="M756" s="3">
        <v>5.63</v>
      </c>
      <c r="N756" s="3">
        <v>2.95</v>
      </c>
      <c r="O756" s="3"/>
      <c r="P756" s="3">
        <v>3.94</v>
      </c>
      <c r="Q756" s="6">
        <f t="shared" ref="Q756" si="1627">+L756-M756-N756+P756</f>
        <v>51.709999999999994</v>
      </c>
      <c r="R756" s="3"/>
      <c r="S756" s="3">
        <v>32.81</v>
      </c>
      <c r="T756" s="3">
        <v>2.65</v>
      </c>
      <c r="U756" s="3">
        <v>4.99</v>
      </c>
      <c r="V756" s="3"/>
      <c r="W756" s="3"/>
      <c r="X756" s="2">
        <f t="shared" ref="X756" si="1628">+S756+T756++U756+V756-W756</f>
        <v>40.450000000000003</v>
      </c>
      <c r="Y756" s="6">
        <f t="shared" ref="Y756" si="1629">+Q756-X756</f>
        <v>11.259999999999991</v>
      </c>
      <c r="Z756" s="2"/>
      <c r="AA756" s="2"/>
      <c r="AB756" s="2"/>
      <c r="AC756" s="3"/>
      <c r="AD756" s="2"/>
      <c r="AE756" s="2"/>
      <c r="AF756" s="2"/>
      <c r="AG756" s="2"/>
      <c r="AH756" s="2" t="s">
        <v>3668</v>
      </c>
      <c r="AI756" s="2" t="s">
        <v>3667</v>
      </c>
      <c r="AJ756" s="2"/>
      <c r="AK756" s="2"/>
      <c r="AL756" s="2" t="s">
        <v>3071</v>
      </c>
      <c r="AM756" s="16" t="s">
        <v>3951</v>
      </c>
      <c r="AN756" s="2"/>
      <c r="AO756" s="2" t="s">
        <v>3825</v>
      </c>
      <c r="AP756" s="2" t="s">
        <v>3519</v>
      </c>
      <c r="AQ756" s="2"/>
      <c r="AR756" s="16" t="s">
        <v>3822</v>
      </c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</row>
    <row r="757" spans="3:58" ht="17.25" customHeight="1">
      <c r="C757" s="1">
        <v>43956</v>
      </c>
      <c r="E757" s="2" t="s">
        <v>2979</v>
      </c>
      <c r="F757" s="2"/>
      <c r="G757" s="2" t="s">
        <v>3571</v>
      </c>
      <c r="H757" s="2" t="s">
        <v>3570</v>
      </c>
      <c r="I757" s="2"/>
      <c r="J757" s="2">
        <v>1</v>
      </c>
      <c r="K757" s="2" t="s">
        <v>3449</v>
      </c>
      <c r="L757" s="3">
        <v>56.35</v>
      </c>
      <c r="M757" s="3">
        <v>5.63</v>
      </c>
      <c r="N757" s="3">
        <v>3.03</v>
      </c>
      <c r="O757" s="3"/>
      <c r="P757" s="3">
        <f>5.78-5.78</f>
        <v>0</v>
      </c>
      <c r="Q757" s="6">
        <f t="shared" ref="Q757:Q758" si="1630">+L757-M757-N757+P757</f>
        <v>47.69</v>
      </c>
      <c r="R757" s="3"/>
      <c r="S757" s="3">
        <v>38.78</v>
      </c>
      <c r="T757" s="3">
        <v>3.98</v>
      </c>
      <c r="U757" s="3"/>
      <c r="V757" s="3"/>
      <c r="W757" s="3"/>
      <c r="X757" s="2">
        <f t="shared" ref="X757:X758" si="1631">+S757+T757++U757+V757-W757</f>
        <v>42.76</v>
      </c>
      <c r="Y757" s="6">
        <f t="shared" ref="Y757:Y758" si="1632">+Q757-X757</f>
        <v>4.93</v>
      </c>
      <c r="Z757" s="2"/>
      <c r="AA757" s="2"/>
      <c r="AB757" s="2"/>
      <c r="AC757" s="3"/>
      <c r="AD757" s="2"/>
      <c r="AE757" s="2"/>
      <c r="AF757" s="2"/>
      <c r="AG757" s="2"/>
      <c r="AH757" s="2" t="s">
        <v>3670</v>
      </c>
      <c r="AI757" s="2" t="s">
        <v>3669</v>
      </c>
      <c r="AJ757" s="2"/>
      <c r="AK757" s="2"/>
      <c r="AL757" s="2" t="s">
        <v>3071</v>
      </c>
      <c r="AM757" s="16" t="s">
        <v>4024</v>
      </c>
      <c r="AN757" s="2"/>
      <c r="AO757" s="2" t="s">
        <v>3824</v>
      </c>
      <c r="AP757" s="2" t="s">
        <v>3519</v>
      </c>
      <c r="AQ757" s="2"/>
      <c r="AR757" s="16" t="s">
        <v>3822</v>
      </c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</row>
    <row r="758" spans="3:58" ht="17.25" customHeight="1">
      <c r="C758" s="1">
        <v>43956</v>
      </c>
      <c r="E758" s="2" t="s">
        <v>3562</v>
      </c>
      <c r="F758" s="2"/>
      <c r="G758" s="2" t="s">
        <v>3569</v>
      </c>
      <c r="H758" s="2" t="s">
        <v>3568</v>
      </c>
      <c r="I758" s="2"/>
      <c r="J758" s="2">
        <v>1</v>
      </c>
      <c r="K758" s="2"/>
      <c r="L758" s="3">
        <v>30.5</v>
      </c>
      <c r="M758" s="3">
        <v>3.05</v>
      </c>
      <c r="N758" s="3">
        <v>1.72</v>
      </c>
      <c r="O758" s="3"/>
      <c r="P758" s="3">
        <f>2.14-2.14</f>
        <v>0</v>
      </c>
      <c r="Q758" s="6">
        <f t="shared" si="1630"/>
        <v>25.73</v>
      </c>
      <c r="R758" s="3"/>
      <c r="S758" s="3">
        <v>14.9</v>
      </c>
      <c r="T758" s="3">
        <v>1.19</v>
      </c>
      <c r="U758" s="3">
        <v>4.99</v>
      </c>
      <c r="V758" s="3"/>
      <c r="W758" s="3"/>
      <c r="X758" s="2">
        <f t="shared" si="1631"/>
        <v>21.08</v>
      </c>
      <c r="Y758" s="6">
        <f t="shared" si="1632"/>
        <v>4.6500000000000021</v>
      </c>
      <c r="Z758" s="2"/>
      <c r="AA758" s="2"/>
      <c r="AB758" s="2"/>
      <c r="AC758" s="3"/>
      <c r="AD758" s="2"/>
      <c r="AE758" s="2"/>
      <c r="AF758" s="2"/>
      <c r="AG758" s="2"/>
      <c r="AH758" s="2" t="s">
        <v>3676</v>
      </c>
      <c r="AI758" s="2" t="s">
        <v>3675</v>
      </c>
      <c r="AJ758" s="2"/>
      <c r="AK758" s="2"/>
      <c r="AL758" s="2" t="s">
        <v>3071</v>
      </c>
      <c r="AM758" s="16" t="s">
        <v>4082</v>
      </c>
      <c r="AN758" s="2"/>
      <c r="AO758" s="2" t="s">
        <v>3840</v>
      </c>
      <c r="AP758" s="2" t="s">
        <v>3519</v>
      </c>
      <c r="AQ758" s="2"/>
      <c r="AR758" s="16" t="s">
        <v>3822</v>
      </c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</row>
    <row r="759" spans="3:58" ht="17.25" customHeight="1">
      <c r="C759" s="1">
        <v>43956</v>
      </c>
      <c r="E759" s="2" t="s">
        <v>2979</v>
      </c>
      <c r="F759" s="2"/>
      <c r="G759" s="2" t="s">
        <v>3567</v>
      </c>
      <c r="H759" s="2" t="s">
        <v>3897</v>
      </c>
      <c r="I759" s="2"/>
      <c r="J759" s="2">
        <v>0</v>
      </c>
      <c r="K759" s="2" t="s">
        <v>3449</v>
      </c>
      <c r="L759" s="3">
        <v>0</v>
      </c>
      <c r="M759" s="3">
        <v>0</v>
      </c>
      <c r="N759" s="3">
        <v>0</v>
      </c>
      <c r="O759" s="3"/>
      <c r="P759" s="3">
        <v>0</v>
      </c>
      <c r="Q759" s="6">
        <f t="shared" ref="Q759" si="1633">+L759-M759-N759+P759</f>
        <v>0</v>
      </c>
      <c r="R759" s="3"/>
      <c r="S759" s="3">
        <v>0</v>
      </c>
      <c r="T759" s="3">
        <v>0</v>
      </c>
      <c r="U759" s="3">
        <v>0</v>
      </c>
      <c r="V759" s="3"/>
      <c r="W759" s="3"/>
      <c r="X759" s="2">
        <f t="shared" ref="X759" si="1634">+S759+T759++U759+V759-W759</f>
        <v>0</v>
      </c>
      <c r="Y759" s="6">
        <f t="shared" ref="Y759" si="1635">+Q759-X759</f>
        <v>0</v>
      </c>
      <c r="Z759" s="2"/>
      <c r="AA759" s="2"/>
      <c r="AB759" s="2"/>
      <c r="AC759" s="3"/>
      <c r="AD759" s="2"/>
      <c r="AE759" s="2"/>
      <c r="AF759" s="2"/>
      <c r="AG759" s="2"/>
      <c r="AH759" s="2" t="s">
        <v>3672</v>
      </c>
      <c r="AI759" s="2" t="s">
        <v>3671</v>
      </c>
      <c r="AJ759" s="2"/>
      <c r="AK759" s="2"/>
      <c r="AL759" s="2"/>
      <c r="AM759" s="5" t="s">
        <v>493</v>
      </c>
      <c r="AN759" s="2"/>
      <c r="AO759" s="5" t="s">
        <v>3256</v>
      </c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</row>
    <row r="760" spans="3:58" ht="17.25" customHeight="1">
      <c r="C760" s="1">
        <v>43956</v>
      </c>
      <c r="E760" s="2" t="s">
        <v>2979</v>
      </c>
      <c r="F760" s="2"/>
      <c r="G760" s="2" t="s">
        <v>3566</v>
      </c>
      <c r="H760" s="2" t="s">
        <v>3565</v>
      </c>
      <c r="I760" s="2"/>
      <c r="J760" s="2">
        <v>1</v>
      </c>
      <c r="K760" s="2" t="s">
        <v>3449</v>
      </c>
      <c r="L760" s="3">
        <v>56.35</v>
      </c>
      <c r="M760" s="3">
        <v>5.63</v>
      </c>
      <c r="N760" s="3">
        <v>2.95</v>
      </c>
      <c r="O760" s="3"/>
      <c r="P760" s="3">
        <v>3.94</v>
      </c>
      <c r="Q760" s="6">
        <f t="shared" ref="Q760" si="1636">+L760-M760-N760+P760</f>
        <v>51.709999999999994</v>
      </c>
      <c r="R760" s="3"/>
      <c r="S760" s="3">
        <v>32.840000000000003</v>
      </c>
      <c r="T760" s="3">
        <v>2.65</v>
      </c>
      <c r="U760" s="3">
        <v>4.99</v>
      </c>
      <c r="V760" s="3"/>
      <c r="W760" s="3"/>
      <c r="X760" s="2">
        <f t="shared" ref="X760" si="1637">+S760+T760++U760+V760-W760</f>
        <v>40.480000000000004</v>
      </c>
      <c r="Y760" s="6">
        <f t="shared" ref="Y760" si="1638">+Q760-X760</f>
        <v>11.22999999999999</v>
      </c>
      <c r="Z760" s="2"/>
      <c r="AA760" s="2"/>
      <c r="AB760" s="2"/>
      <c r="AC760" s="3"/>
      <c r="AD760" s="2"/>
      <c r="AE760" s="2"/>
      <c r="AF760" s="2"/>
      <c r="AG760" s="2"/>
      <c r="AH760" s="2" t="s">
        <v>3674</v>
      </c>
      <c r="AI760" s="2" t="s">
        <v>3673</v>
      </c>
      <c r="AJ760" s="2"/>
      <c r="AK760" s="2"/>
      <c r="AL760" s="2" t="s">
        <v>3071</v>
      </c>
      <c r="AM760" s="16" t="s">
        <v>3948</v>
      </c>
      <c r="AN760" s="2"/>
      <c r="AO760" s="2" t="s">
        <v>3823</v>
      </c>
      <c r="AP760" s="2" t="s">
        <v>3519</v>
      </c>
      <c r="AQ760" s="2"/>
      <c r="AR760" s="16" t="s">
        <v>3822</v>
      </c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</row>
    <row r="761" spans="3:58" ht="17.25" customHeight="1">
      <c r="C761" s="1">
        <v>43956</v>
      </c>
      <c r="E761" s="2" t="s">
        <v>2979</v>
      </c>
      <c r="F761" s="2"/>
      <c r="G761" s="2" t="s">
        <v>3564</v>
      </c>
      <c r="H761" s="2" t="s">
        <v>3563</v>
      </c>
      <c r="I761" s="2"/>
      <c r="J761" s="2">
        <v>1</v>
      </c>
      <c r="K761" s="2" t="s">
        <v>3449</v>
      </c>
      <c r="L761" s="3">
        <v>56.35</v>
      </c>
      <c r="M761" s="3">
        <v>5.63</v>
      </c>
      <c r="N761" s="3">
        <v>2.78</v>
      </c>
      <c r="O761" s="3"/>
      <c r="P761" s="3">
        <v>0</v>
      </c>
      <c r="Q761" s="6">
        <f t="shared" ref="Q761" si="1639">+L761-M761-N761+P761</f>
        <v>47.94</v>
      </c>
      <c r="R761" s="3"/>
      <c r="S761" s="3">
        <v>32.86</v>
      </c>
      <c r="T761" s="3">
        <v>0</v>
      </c>
      <c r="U761" s="3">
        <v>4.99</v>
      </c>
      <c r="V761" s="3"/>
      <c r="W761" s="3"/>
      <c r="X761" s="2">
        <f t="shared" ref="X761" si="1640">+S761+T761++U761+V761-W761</f>
        <v>37.85</v>
      </c>
      <c r="Y761" s="6">
        <f t="shared" ref="Y761" si="1641">+Q761-X761</f>
        <v>10.089999999999996</v>
      </c>
      <c r="Z761" s="2"/>
      <c r="AA761" s="2"/>
      <c r="AB761" s="2"/>
      <c r="AC761" s="3"/>
      <c r="AD761" s="2"/>
      <c r="AE761" s="2"/>
      <c r="AF761" s="2"/>
      <c r="AG761" s="2"/>
      <c r="AH761" s="2" t="s">
        <v>3677</v>
      </c>
      <c r="AI761" s="2" t="s">
        <v>3675</v>
      </c>
      <c r="AJ761" s="2"/>
      <c r="AK761" s="2"/>
      <c r="AL761" s="2" t="s">
        <v>3086</v>
      </c>
      <c r="AM761" s="16" t="s">
        <v>3949</v>
      </c>
      <c r="AN761" s="2"/>
      <c r="AO761" s="2" t="s">
        <v>3821</v>
      </c>
      <c r="AP761" s="2" t="s">
        <v>3519</v>
      </c>
      <c r="AQ761" s="2"/>
      <c r="AR761" s="16" t="s">
        <v>3822</v>
      </c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</row>
    <row r="762" spans="3:58" ht="17.25" customHeight="1">
      <c r="C762" s="1">
        <v>43956</v>
      </c>
      <c r="E762" s="2" t="s">
        <v>2979</v>
      </c>
      <c r="F762" s="2"/>
      <c r="G762" s="2" t="s">
        <v>3544</v>
      </c>
      <c r="H762" s="2" t="s">
        <v>3545</v>
      </c>
      <c r="I762" s="2"/>
      <c r="J762" s="2">
        <v>1</v>
      </c>
      <c r="K762" s="24" t="s">
        <v>3449</v>
      </c>
      <c r="L762" s="3">
        <v>56.35</v>
      </c>
      <c r="M762" s="3">
        <v>5.63</v>
      </c>
      <c r="N762" s="3">
        <v>2.95</v>
      </c>
      <c r="O762" s="3">
        <v>0</v>
      </c>
      <c r="P762" s="3">
        <v>3.94</v>
      </c>
      <c r="Q762" s="6">
        <f t="shared" ref="Q762" si="1642">+L762-M762-N762+P762</f>
        <v>51.709999999999994</v>
      </c>
      <c r="R762" s="3"/>
      <c r="S762" s="3">
        <v>36.950000000000003</v>
      </c>
      <c r="T762" s="3">
        <v>2.59</v>
      </c>
      <c r="U762" s="3"/>
      <c r="V762" s="3">
        <v>0</v>
      </c>
      <c r="W762" s="3"/>
      <c r="X762" s="2">
        <f t="shared" ref="X762" si="1643">+S762+T762++U762+V762-W762</f>
        <v>39.540000000000006</v>
      </c>
      <c r="Y762" s="6">
        <f t="shared" ref="Y762" si="1644">+Q762-X762</f>
        <v>12.169999999999987</v>
      </c>
      <c r="Z762" s="2"/>
      <c r="AA762" s="2"/>
      <c r="AB762" s="2"/>
      <c r="AC762" s="3"/>
      <c r="AD762" s="2"/>
      <c r="AE762" s="2"/>
      <c r="AF762" s="2"/>
      <c r="AG762" s="2"/>
      <c r="AH762" s="2" t="s">
        <v>3547</v>
      </c>
      <c r="AI762" s="2" t="s">
        <v>3546</v>
      </c>
      <c r="AJ762" s="2"/>
      <c r="AK762" s="2"/>
      <c r="AL762" s="2" t="s">
        <v>3071</v>
      </c>
      <c r="AM762" s="16" t="s">
        <v>3857</v>
      </c>
      <c r="AN762" s="2"/>
      <c r="AO762" s="2" t="s">
        <v>3758</v>
      </c>
      <c r="AP762" s="2" t="s">
        <v>3519</v>
      </c>
      <c r="AQ762" s="2"/>
      <c r="AR762" s="16" t="s">
        <v>3759</v>
      </c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</row>
    <row r="763" spans="3:58" ht="17.25" customHeight="1">
      <c r="C763" s="1">
        <v>43956</v>
      </c>
      <c r="E763" s="2" t="s">
        <v>3531</v>
      </c>
      <c r="F763" s="2"/>
      <c r="G763" s="2" t="s">
        <v>3533</v>
      </c>
      <c r="H763" s="2" t="s">
        <v>3532</v>
      </c>
      <c r="I763" s="2"/>
      <c r="J763" s="2">
        <v>1</v>
      </c>
      <c r="K763" s="2" t="s">
        <v>3449</v>
      </c>
      <c r="L763" s="3">
        <v>36.15</v>
      </c>
      <c r="M763" s="3">
        <v>3.61</v>
      </c>
      <c r="N763" s="3">
        <v>2.04</v>
      </c>
      <c r="O763" s="3"/>
      <c r="P763" s="3">
        <f>3.43-3.43</f>
        <v>0</v>
      </c>
      <c r="Q763" s="6">
        <f t="shared" ref="Q763" si="1645">+L763-M763-N763+P763</f>
        <v>30.5</v>
      </c>
      <c r="R763" s="3"/>
      <c r="S763" s="3">
        <v>23.99</v>
      </c>
      <c r="T763" s="3">
        <v>2.2799999999999998</v>
      </c>
      <c r="U763" s="3">
        <v>0</v>
      </c>
      <c r="V763" s="3"/>
      <c r="W763" s="3">
        <v>0</v>
      </c>
      <c r="X763" s="2">
        <f t="shared" ref="X763" si="1646">+S763+T763++U763+V763-W763</f>
        <v>26.27</v>
      </c>
      <c r="Y763" s="6">
        <f t="shared" ref="Y763" si="1647">+Q763-X763</f>
        <v>4.2300000000000004</v>
      </c>
      <c r="Z763" s="6">
        <f>SUM(Y756:Y763)</f>
        <v>58.55999999999996</v>
      </c>
      <c r="AA763" s="2"/>
      <c r="AB763" s="2"/>
      <c r="AC763" s="3"/>
      <c r="AD763" s="2"/>
      <c r="AE763" s="2"/>
      <c r="AF763" s="2"/>
      <c r="AG763" s="2"/>
      <c r="AH763" s="2" t="s">
        <v>3535</v>
      </c>
      <c r="AI763" s="2" t="s">
        <v>3534</v>
      </c>
      <c r="AJ763" s="2"/>
      <c r="AK763" s="2"/>
      <c r="AL763" s="2" t="s">
        <v>2926</v>
      </c>
      <c r="AM763" s="16" t="s">
        <v>4229</v>
      </c>
      <c r="AN763" s="2"/>
      <c r="AO763" s="2" t="s">
        <v>3935</v>
      </c>
      <c r="AP763" s="2" t="s">
        <v>3685</v>
      </c>
      <c r="AQ763" s="2"/>
      <c r="AR763" s="16" t="s">
        <v>3936</v>
      </c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</row>
    <row r="764" spans="3:58" ht="17.25" customHeight="1">
      <c r="C764" s="1">
        <v>43955</v>
      </c>
      <c r="E764" s="2" t="s">
        <v>2289</v>
      </c>
      <c r="F764" s="2"/>
      <c r="G764" s="2" t="s">
        <v>3505</v>
      </c>
      <c r="H764" s="2" t="s">
        <v>3504</v>
      </c>
      <c r="I764" s="2"/>
      <c r="J764" s="2">
        <v>1</v>
      </c>
      <c r="K764" s="2"/>
      <c r="L764" s="3">
        <v>32.5</v>
      </c>
      <c r="M764" s="3">
        <v>3.25</v>
      </c>
      <c r="N764" s="3">
        <v>1.85</v>
      </c>
      <c r="O764" s="3"/>
      <c r="P764" s="3">
        <f>2.64-2.64</f>
        <v>0</v>
      </c>
      <c r="Q764" s="6">
        <f t="shared" ref="Q764:Q765" si="1648">+L764-M764-N764+P764</f>
        <v>27.4</v>
      </c>
      <c r="R764" s="3"/>
      <c r="S764" s="3">
        <v>16.46</v>
      </c>
      <c r="T764" s="3">
        <v>1.33</v>
      </c>
      <c r="U764" s="3"/>
      <c r="V764" s="3"/>
      <c r="W764" s="3"/>
      <c r="X764" s="2">
        <f t="shared" ref="X764" si="1649">+S764+T764++U764+V764-W764</f>
        <v>17.79</v>
      </c>
      <c r="Y764" s="6">
        <f t="shared" ref="Y764" si="1650">+Q764-X764</f>
        <v>9.61</v>
      </c>
      <c r="Z764" s="2"/>
      <c r="AA764" s="2"/>
      <c r="AB764" s="2"/>
      <c r="AC764" s="3"/>
      <c r="AD764" s="2"/>
      <c r="AE764" s="2"/>
      <c r="AF764" s="2"/>
      <c r="AG764" s="2"/>
      <c r="AH764" s="2" t="s">
        <v>3510</v>
      </c>
      <c r="AI764" s="2" t="s">
        <v>3509</v>
      </c>
      <c r="AJ764" s="2"/>
      <c r="AK764" s="2"/>
      <c r="AL764" s="2"/>
      <c r="AM764" s="24" t="s">
        <v>4451</v>
      </c>
      <c r="AN764" s="2"/>
      <c r="AO764" s="2" t="s">
        <v>3856</v>
      </c>
      <c r="AP764" s="24" t="s">
        <v>4458</v>
      </c>
      <c r="AQ764" s="24"/>
      <c r="AR764" s="16" t="s">
        <v>4072</v>
      </c>
      <c r="AS764" s="2"/>
      <c r="AT764" s="2" t="s">
        <v>4795</v>
      </c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</row>
    <row r="765" spans="3:58" ht="17.25" customHeight="1">
      <c r="C765" s="1">
        <v>43955</v>
      </c>
      <c r="E765" s="2" t="s">
        <v>2964</v>
      </c>
      <c r="F765" s="2"/>
      <c r="G765" s="2" t="s">
        <v>3497</v>
      </c>
      <c r="H765" s="2" t="s">
        <v>3498</v>
      </c>
      <c r="I765" s="2"/>
      <c r="J765" s="2">
        <v>1</v>
      </c>
      <c r="K765" s="24" t="s">
        <v>3449</v>
      </c>
      <c r="L765" s="3">
        <v>83.5</v>
      </c>
      <c r="M765" s="3">
        <v>8.35</v>
      </c>
      <c r="N765" s="3">
        <v>4.2300000000000004</v>
      </c>
      <c r="O765" s="3">
        <v>0</v>
      </c>
      <c r="P765" s="3">
        <v>5.85</v>
      </c>
      <c r="Q765" s="6">
        <f t="shared" si="1648"/>
        <v>76.77</v>
      </c>
      <c r="R765" s="3"/>
      <c r="S765" s="3">
        <v>65.19</v>
      </c>
      <c r="T765" s="3">
        <v>4.57</v>
      </c>
      <c r="U765" s="3"/>
      <c r="V765" s="3"/>
      <c r="W765" s="3">
        <v>6.51</v>
      </c>
      <c r="X765" s="2">
        <f t="shared" ref="X765" si="1651">+S765+T765++U765+V765-W765</f>
        <v>63.249999999999993</v>
      </c>
      <c r="Y765" s="6">
        <f t="shared" ref="Y765" si="1652">+Q765-X765</f>
        <v>13.520000000000003</v>
      </c>
      <c r="Z765" s="2"/>
      <c r="AA765" s="2"/>
      <c r="AB765" s="2"/>
      <c r="AC765" s="3"/>
      <c r="AD765" s="2"/>
      <c r="AE765" s="2"/>
      <c r="AF765" s="2"/>
      <c r="AG765" s="2"/>
      <c r="AH765" s="2" t="s">
        <v>3500</v>
      </c>
      <c r="AI765" s="2" t="s">
        <v>3499</v>
      </c>
      <c r="AJ765" s="2"/>
      <c r="AK765" s="2"/>
      <c r="AL765" s="2" t="s">
        <v>3071</v>
      </c>
      <c r="AM765" s="16" t="s">
        <v>3548</v>
      </c>
      <c r="AN765" s="2">
        <v>1</v>
      </c>
      <c r="AO765" s="2" t="s">
        <v>3530</v>
      </c>
      <c r="AP765" s="2" t="s">
        <v>3696</v>
      </c>
      <c r="AQ765" s="2"/>
      <c r="AR765" s="16" t="s">
        <v>3521</v>
      </c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</row>
    <row r="766" spans="3:58" ht="17.25" customHeight="1">
      <c r="C766" s="1">
        <v>43955</v>
      </c>
      <c r="E766" s="2" t="s">
        <v>2979</v>
      </c>
      <c r="F766" s="2"/>
      <c r="G766" s="2" t="s">
        <v>3494</v>
      </c>
      <c r="H766" s="2" t="s">
        <v>3493</v>
      </c>
      <c r="I766" s="2"/>
      <c r="J766" s="2">
        <v>1</v>
      </c>
      <c r="K766" s="24" t="s">
        <v>3449</v>
      </c>
      <c r="L766" s="3">
        <v>56.85</v>
      </c>
      <c r="M766" s="3">
        <v>5.68</v>
      </c>
      <c r="N766" s="3">
        <v>3.02</v>
      </c>
      <c r="O766" s="3">
        <v>0</v>
      </c>
      <c r="P766" s="3">
        <f>4.9-4.9</f>
        <v>0</v>
      </c>
      <c r="Q766" s="6">
        <f t="shared" ref="Q766" si="1653">+L766-M766-N766+P766</f>
        <v>48.15</v>
      </c>
      <c r="R766" s="3"/>
      <c r="S766" s="3">
        <v>36.99</v>
      </c>
      <c r="T766" s="3">
        <v>3.19</v>
      </c>
      <c r="U766" s="3"/>
      <c r="V766" s="3">
        <v>0</v>
      </c>
      <c r="W766" s="3"/>
      <c r="X766" s="2">
        <f t="shared" ref="X766" si="1654">+S766+T766++U766+V766-W766</f>
        <v>40.18</v>
      </c>
      <c r="Y766" s="6">
        <f t="shared" ref="Y766" si="1655">+Q766-X766</f>
        <v>7.9699999999999989</v>
      </c>
      <c r="Z766" s="2"/>
      <c r="AA766" s="2"/>
      <c r="AB766" s="2"/>
      <c r="AC766" s="3"/>
      <c r="AD766" s="2"/>
      <c r="AE766" s="2"/>
      <c r="AF766" s="2"/>
      <c r="AG766" s="2"/>
      <c r="AH766" s="2" t="s">
        <v>3496</v>
      </c>
      <c r="AI766" s="2" t="s">
        <v>3495</v>
      </c>
      <c r="AJ766" s="2"/>
      <c r="AK766" s="2"/>
      <c r="AL766" s="2" t="s">
        <v>3071</v>
      </c>
      <c r="AM766" s="16" t="s">
        <v>3797</v>
      </c>
      <c r="AN766" s="2"/>
      <c r="AO766" s="2" t="s">
        <v>3755</v>
      </c>
      <c r="AP766" s="2" t="s">
        <v>3519</v>
      </c>
      <c r="AQ766" s="2"/>
      <c r="AR766" s="16" t="s">
        <v>3739</v>
      </c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</row>
    <row r="767" spans="3:58" ht="17.25" customHeight="1">
      <c r="C767" s="1">
        <v>43955</v>
      </c>
      <c r="E767" s="2" t="s">
        <v>3119</v>
      </c>
      <c r="F767" s="2"/>
      <c r="G767" s="2" t="s">
        <v>3490</v>
      </c>
      <c r="H767" s="2" t="s">
        <v>3489</v>
      </c>
      <c r="I767" s="2"/>
      <c r="J767" s="2">
        <v>1</v>
      </c>
      <c r="K767" s="24" t="s">
        <v>3449</v>
      </c>
      <c r="L767" s="3">
        <v>22.85</v>
      </c>
      <c r="M767" s="3">
        <v>2.2799999999999998</v>
      </c>
      <c r="N767" s="3">
        <v>1.39</v>
      </c>
      <c r="O767" s="3"/>
      <c r="P767" s="3">
        <f>1.6-1.6</f>
        <v>0</v>
      </c>
      <c r="Q767" s="6">
        <f t="shared" ref="Q767" si="1656">+L767-M767-N767+P767</f>
        <v>19.18</v>
      </c>
      <c r="R767" s="3"/>
      <c r="S767" s="3">
        <v>11.99</v>
      </c>
      <c r="T767" s="3">
        <v>1.1599999999999999</v>
      </c>
      <c r="U767" s="3"/>
      <c r="V767" s="3"/>
      <c r="W767" s="3"/>
      <c r="X767" s="3">
        <f t="shared" ref="X767" si="1657">+S767+T767++U767+V767-W767</f>
        <v>13.15</v>
      </c>
      <c r="Y767" s="3">
        <f t="shared" ref="Y767" si="1658">+Q767-X767</f>
        <v>6.0299999999999994</v>
      </c>
      <c r="Z767" s="2"/>
      <c r="AA767" s="2"/>
      <c r="AB767" s="2"/>
      <c r="AC767" s="3"/>
      <c r="AD767" s="2"/>
      <c r="AE767" s="2"/>
      <c r="AF767" s="2"/>
      <c r="AG767" s="2"/>
      <c r="AH767" s="2" t="s">
        <v>3492</v>
      </c>
      <c r="AI767" s="2" t="s">
        <v>3491</v>
      </c>
      <c r="AJ767" s="2"/>
      <c r="AK767" s="2"/>
      <c r="AL767" s="2" t="s">
        <v>2926</v>
      </c>
      <c r="AM767" s="16" t="s">
        <v>3743</v>
      </c>
      <c r="AN767" s="2"/>
      <c r="AO767" s="2" t="s">
        <v>3582</v>
      </c>
      <c r="AP767" s="2" t="s">
        <v>3579</v>
      </c>
      <c r="AQ767" s="2"/>
      <c r="AR767" s="16" t="s">
        <v>3580</v>
      </c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</row>
    <row r="768" spans="3:58" ht="17.25" customHeight="1">
      <c r="C768" s="1">
        <v>43955</v>
      </c>
      <c r="E768" s="2" t="s">
        <v>3119</v>
      </c>
      <c r="F768" s="2"/>
      <c r="G768" s="2" t="s">
        <v>3485</v>
      </c>
      <c r="H768" s="2" t="s">
        <v>3484</v>
      </c>
      <c r="I768" s="2"/>
      <c r="J768" s="2">
        <v>1</v>
      </c>
      <c r="K768" s="24" t="s">
        <v>3449</v>
      </c>
      <c r="L768" s="3">
        <v>22.85</v>
      </c>
      <c r="M768" s="3">
        <v>2.2799999999999998</v>
      </c>
      <c r="N768" s="3">
        <v>1.38</v>
      </c>
      <c r="O768" s="3"/>
      <c r="P768" s="3">
        <f>1.91-1.91</f>
        <v>0</v>
      </c>
      <c r="Q768" s="6">
        <f t="shared" ref="Q768" si="1659">+L768-M768-N768+P768</f>
        <v>19.190000000000001</v>
      </c>
      <c r="R768" s="3"/>
      <c r="S768" s="3">
        <v>11.99</v>
      </c>
      <c r="T768" s="3">
        <v>0.84</v>
      </c>
      <c r="U768" s="3"/>
      <c r="V768" s="3"/>
      <c r="W768" s="3"/>
      <c r="X768" s="3">
        <f t="shared" ref="X768" si="1660">+S768+T768++U768+V768-W768</f>
        <v>12.83</v>
      </c>
      <c r="Y768" s="3">
        <f t="shared" ref="Y768" si="1661">+Q768-X768</f>
        <v>6.3600000000000012</v>
      </c>
      <c r="Z768" s="2"/>
      <c r="AA768" s="2"/>
      <c r="AB768" s="2"/>
      <c r="AC768" s="3"/>
      <c r="AD768" s="2"/>
      <c r="AE768" s="2"/>
      <c r="AF768" s="2"/>
      <c r="AG768" s="2"/>
      <c r="AH768" s="2" t="s">
        <v>3487</v>
      </c>
      <c r="AI768" s="2" t="s">
        <v>3486</v>
      </c>
      <c r="AJ768" s="2"/>
      <c r="AK768" s="2"/>
      <c r="AL768" s="2" t="s">
        <v>2926</v>
      </c>
      <c r="AM768" s="16" t="s">
        <v>3744</v>
      </c>
      <c r="AN768" s="2"/>
      <c r="AO768" s="10" t="s">
        <v>3578</v>
      </c>
      <c r="AP768" s="2" t="s">
        <v>3579</v>
      </c>
      <c r="AQ768" s="2"/>
      <c r="AR768" s="16" t="s">
        <v>3580</v>
      </c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</row>
    <row r="769" spans="2:58" ht="17.25" customHeight="1">
      <c r="C769" s="1">
        <v>43955</v>
      </c>
      <c r="E769" s="2" t="s">
        <v>3405</v>
      </c>
      <c r="F769" s="2"/>
      <c r="G769" s="2" t="s">
        <v>3404</v>
      </c>
      <c r="H769" s="2" t="s">
        <v>3403</v>
      </c>
      <c r="I769" s="2"/>
      <c r="J769" s="2">
        <v>1</v>
      </c>
      <c r="K769" s="2"/>
      <c r="L769" s="3">
        <v>41.7</v>
      </c>
      <c r="M769" s="3">
        <v>4.17</v>
      </c>
      <c r="N769" s="3">
        <v>2.2599999999999998</v>
      </c>
      <c r="O769" s="3"/>
      <c r="P769" s="3">
        <f>2.92-2.92</f>
        <v>0</v>
      </c>
      <c r="Q769" s="6">
        <f t="shared" ref="Q769" si="1662">+L769-M769-N769+P769</f>
        <v>35.270000000000003</v>
      </c>
      <c r="R769" s="3"/>
      <c r="S769" s="3">
        <v>25.98</v>
      </c>
      <c r="T769" s="3">
        <v>1.82</v>
      </c>
      <c r="U769" s="3"/>
      <c r="V769" s="3"/>
      <c r="W769" s="3"/>
      <c r="X769" s="2">
        <f t="shared" ref="X769" si="1663">+S769+T769++U769+V769-W769</f>
        <v>27.8</v>
      </c>
      <c r="Y769" s="6">
        <f t="shared" ref="Y769" si="1664">+Q769-X769</f>
        <v>7.4700000000000024</v>
      </c>
      <c r="Z769" s="2"/>
      <c r="AA769" s="2"/>
      <c r="AB769" s="2"/>
      <c r="AC769" s="3"/>
      <c r="AD769" s="2"/>
      <c r="AE769" s="2"/>
      <c r="AF769" s="2"/>
      <c r="AG769" s="2"/>
      <c r="AH769" s="2" t="s">
        <v>3434</v>
      </c>
      <c r="AI769" s="2" t="s">
        <v>3433</v>
      </c>
      <c r="AJ769" s="2"/>
      <c r="AK769" s="2"/>
      <c r="AL769" s="2" t="s">
        <v>2926</v>
      </c>
      <c r="AM769" s="16" t="s">
        <v>4081</v>
      </c>
      <c r="AN769" s="2"/>
      <c r="AO769" s="2" t="s">
        <v>3771</v>
      </c>
      <c r="AP769" s="2" t="s">
        <v>3772</v>
      </c>
      <c r="AQ769" s="2"/>
      <c r="AR769" s="16" t="s">
        <v>3739</v>
      </c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</row>
    <row r="770" spans="2:58" ht="17.25" customHeight="1">
      <c r="B770" s="13" t="s">
        <v>1370</v>
      </c>
      <c r="C770" s="1">
        <v>43955</v>
      </c>
      <c r="E770" s="2" t="s">
        <v>1341</v>
      </c>
      <c r="F770" s="2"/>
      <c r="G770" s="2" t="s">
        <v>3481</v>
      </c>
      <c r="H770" s="2" t="s">
        <v>3480</v>
      </c>
      <c r="I770" s="2"/>
      <c r="J770" s="2">
        <v>1</v>
      </c>
      <c r="K770" s="2"/>
      <c r="L770" s="3">
        <v>16.600000000000001</v>
      </c>
      <c r="M770" s="3">
        <v>1.66</v>
      </c>
      <c r="N770" s="3">
        <v>1.03</v>
      </c>
      <c r="O770" s="3"/>
      <c r="P770" s="3">
        <v>0</v>
      </c>
      <c r="Q770" s="6">
        <f t="shared" ref="Q770" si="1665">+L770-M770-N770+P770</f>
        <v>13.910000000000002</v>
      </c>
      <c r="R770" s="3"/>
      <c r="S770" s="3">
        <v>4.6100000000000003</v>
      </c>
      <c r="T770" s="3">
        <v>0</v>
      </c>
      <c r="U770" s="3">
        <v>5.05</v>
      </c>
      <c r="V770" s="3"/>
      <c r="W770" s="3"/>
      <c r="X770" s="2">
        <f t="shared" ref="X770" si="1666">+S770+T770++U770+V770-W770</f>
        <v>9.66</v>
      </c>
      <c r="Y770" s="6">
        <f t="shared" ref="Y770" si="1667">+Q770-X770</f>
        <v>4.2500000000000018</v>
      </c>
      <c r="Z770" s="2"/>
      <c r="AA770" s="2"/>
      <c r="AB770" s="2"/>
      <c r="AC770" s="3"/>
      <c r="AD770" s="2"/>
      <c r="AE770" s="2"/>
      <c r="AF770" s="2"/>
      <c r="AG770" s="2"/>
      <c r="AH770" s="2" t="s">
        <v>3483</v>
      </c>
      <c r="AI770" s="2" t="s">
        <v>3482</v>
      </c>
      <c r="AJ770" s="2"/>
      <c r="AK770" s="2"/>
      <c r="AL770" s="2" t="s">
        <v>3705</v>
      </c>
      <c r="AM770" s="2" t="s">
        <v>3704</v>
      </c>
      <c r="AN770" s="2"/>
      <c r="AO770" s="16" t="s">
        <v>3583</v>
      </c>
      <c r="AP770" s="27" t="s">
        <v>3584</v>
      </c>
      <c r="AQ770" s="27"/>
      <c r="AR770" s="16" t="s">
        <v>3585</v>
      </c>
      <c r="AS770" s="16" t="s">
        <v>3586</v>
      </c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</row>
    <row r="771" spans="2:58" ht="17.25" customHeight="1">
      <c r="C771" s="1">
        <v>43955</v>
      </c>
      <c r="E771" s="2" t="s">
        <v>2979</v>
      </c>
      <c r="F771" s="2"/>
      <c r="G771" s="2" t="s">
        <v>3473</v>
      </c>
      <c r="H771" s="2" t="s">
        <v>3472</v>
      </c>
      <c r="I771" s="2"/>
      <c r="J771" s="2">
        <v>1</v>
      </c>
      <c r="K771" s="2" t="s">
        <v>3449</v>
      </c>
      <c r="L771" s="3">
        <v>56.85</v>
      </c>
      <c r="M771" s="3">
        <v>5.68</v>
      </c>
      <c r="N771" s="3">
        <v>2.98</v>
      </c>
      <c r="O771" s="3">
        <v>0</v>
      </c>
      <c r="P771" s="3">
        <v>3.98</v>
      </c>
      <c r="Q771" s="6">
        <f t="shared" ref="Q771:Q772" si="1668">+L771-M771-N771+P771</f>
        <v>52.17</v>
      </c>
      <c r="R771" s="3"/>
      <c r="S771" s="3">
        <v>37.44</v>
      </c>
      <c r="T771" s="3">
        <v>2.62</v>
      </c>
      <c r="U771" s="3"/>
      <c r="V771" s="3">
        <v>0</v>
      </c>
      <c r="W771" s="3"/>
      <c r="X771" s="2">
        <f t="shared" ref="X771:X772" si="1669">+S771+T771++U771+V771-W771</f>
        <v>40.059999999999995</v>
      </c>
      <c r="Y771" s="6">
        <f t="shared" ref="Y771:Y772" si="1670">+Q771-X771</f>
        <v>12.110000000000007</v>
      </c>
      <c r="Z771" s="2"/>
      <c r="AA771" s="2"/>
      <c r="AB771" s="2"/>
      <c r="AC771" s="3"/>
      <c r="AD771" s="2"/>
      <c r="AE771" s="2"/>
      <c r="AF771" s="2"/>
      <c r="AG771" s="2"/>
      <c r="AH771" s="2" t="s">
        <v>3477</v>
      </c>
      <c r="AI771" s="2" t="s">
        <v>3476</v>
      </c>
      <c r="AJ771" s="2"/>
      <c r="AK771" s="2"/>
      <c r="AL771" s="2" t="s">
        <v>3071</v>
      </c>
      <c r="AM771" s="16" t="s">
        <v>3804</v>
      </c>
      <c r="AN771" s="2"/>
      <c r="AO771" s="2" t="s">
        <v>3703</v>
      </c>
      <c r="AP771" s="2" t="s">
        <v>3519</v>
      </c>
      <c r="AQ771" s="2"/>
      <c r="AR771" s="16" t="s">
        <v>3699</v>
      </c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</row>
    <row r="772" spans="2:58" ht="17.25" customHeight="1">
      <c r="C772" s="1">
        <v>43955</v>
      </c>
      <c r="E772" s="2" t="s">
        <v>3179</v>
      </c>
      <c r="F772" s="2"/>
      <c r="G772" s="2" t="s">
        <v>3471</v>
      </c>
      <c r="H772" s="2" t="s">
        <v>3470</v>
      </c>
      <c r="I772" s="2"/>
      <c r="J772" s="2">
        <v>1</v>
      </c>
      <c r="K772" s="2" t="s">
        <v>3449</v>
      </c>
      <c r="L772" s="3">
        <v>18.45</v>
      </c>
      <c r="M772" s="3">
        <v>1.84</v>
      </c>
      <c r="N772" s="3">
        <v>1.18</v>
      </c>
      <c r="O772" s="3"/>
      <c r="P772" s="3">
        <f>1.48-1.48</f>
        <v>0</v>
      </c>
      <c r="Q772" s="6">
        <f t="shared" si="1668"/>
        <v>15.43</v>
      </c>
      <c r="R772" s="3"/>
      <c r="S772" s="3">
        <v>12.3</v>
      </c>
      <c r="T772" s="3">
        <v>0.98</v>
      </c>
      <c r="U772" s="3"/>
      <c r="V772" s="3"/>
      <c r="W772" s="3">
        <v>1.23</v>
      </c>
      <c r="X772" s="3">
        <f t="shared" si="1669"/>
        <v>12.05</v>
      </c>
      <c r="Y772" s="3">
        <f t="shared" si="1670"/>
        <v>3.379999999999999</v>
      </c>
      <c r="Z772" s="2"/>
      <c r="AA772" s="2"/>
      <c r="AB772" s="2"/>
      <c r="AC772" s="3"/>
      <c r="AD772" s="2"/>
      <c r="AE772" s="2"/>
      <c r="AF772" s="2"/>
      <c r="AG772" s="2"/>
      <c r="AH772" s="2" t="s">
        <v>3475</v>
      </c>
      <c r="AI772" s="2" t="s">
        <v>3474</v>
      </c>
      <c r="AJ772" s="2"/>
      <c r="AK772" s="2"/>
      <c r="AL772" s="2" t="s">
        <v>2926</v>
      </c>
      <c r="AM772" s="16" t="s">
        <v>4089</v>
      </c>
      <c r="AN772" s="2"/>
      <c r="AO772" s="2" t="s">
        <v>3764</v>
      </c>
      <c r="AP772" s="2" t="s">
        <v>3765</v>
      </c>
      <c r="AQ772" s="2"/>
      <c r="AR772" s="16" t="s">
        <v>3739</v>
      </c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</row>
    <row r="773" spans="2:58" ht="17.25" customHeight="1">
      <c r="C773" s="1">
        <v>43955</v>
      </c>
      <c r="E773" s="2" t="s">
        <v>3119</v>
      </c>
      <c r="F773" s="2"/>
      <c r="G773" s="2" t="s">
        <v>3464</v>
      </c>
      <c r="H773" s="2" t="s">
        <v>3465</v>
      </c>
      <c r="I773" s="2"/>
      <c r="J773" s="2">
        <v>1</v>
      </c>
      <c r="K773" s="2"/>
      <c r="L773" s="3">
        <v>22.85</v>
      </c>
      <c r="M773" s="3">
        <v>2.2799999999999998</v>
      </c>
      <c r="N773" s="3">
        <v>1.41</v>
      </c>
      <c r="O773" s="3"/>
      <c r="P773" s="3">
        <f>2.34-2.34</f>
        <v>0</v>
      </c>
      <c r="Q773" s="6">
        <f t="shared" ref="Q773" si="1671">+L773-M773-N773+P773</f>
        <v>19.16</v>
      </c>
      <c r="R773" s="3"/>
      <c r="S773" s="3">
        <v>11.99</v>
      </c>
      <c r="T773" s="3">
        <v>1.23</v>
      </c>
      <c r="U773" s="3"/>
      <c r="V773" s="3"/>
      <c r="W773" s="3"/>
      <c r="X773" s="3">
        <f t="shared" ref="X773" si="1672">+S773+T773++U773+V773-W773</f>
        <v>13.22</v>
      </c>
      <c r="Y773" s="3">
        <f t="shared" ref="Y773" si="1673">+Q773-X773</f>
        <v>5.9399999999999995</v>
      </c>
      <c r="Z773" s="2"/>
      <c r="AA773" s="2"/>
      <c r="AB773" s="2"/>
      <c r="AC773" s="3"/>
      <c r="AD773" s="2"/>
      <c r="AE773" s="2"/>
      <c r="AF773" s="2"/>
      <c r="AG773" s="2"/>
      <c r="AH773" s="2" t="s">
        <v>3469</v>
      </c>
      <c r="AI773" s="2" t="s">
        <v>3468</v>
      </c>
      <c r="AJ773" s="2"/>
      <c r="AK773" s="2"/>
      <c r="AL773" s="2" t="s">
        <v>2926</v>
      </c>
      <c r="AM773" s="16" t="s">
        <v>3746</v>
      </c>
      <c r="AN773" s="2"/>
      <c r="AO773" s="2" t="s">
        <v>3466</v>
      </c>
      <c r="AR773" s="16" t="s">
        <v>3467</v>
      </c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</row>
    <row r="774" spans="2:58" ht="17.25" customHeight="1">
      <c r="C774" s="1">
        <v>43955</v>
      </c>
      <c r="E774" s="2" t="s">
        <v>2979</v>
      </c>
      <c r="F774" s="2"/>
      <c r="G774" s="2" t="s">
        <v>3460</v>
      </c>
      <c r="H774" s="2" t="s">
        <v>3934</v>
      </c>
      <c r="I774" s="2"/>
      <c r="J774" s="2">
        <v>1</v>
      </c>
      <c r="K774" s="2"/>
      <c r="L774" s="3">
        <v>56.85</v>
      </c>
      <c r="M774" s="3">
        <v>5.68</v>
      </c>
      <c r="N774" s="3">
        <v>2.93</v>
      </c>
      <c r="O774" s="3">
        <v>0</v>
      </c>
      <c r="P774" s="3">
        <f>2.91-2.91</f>
        <v>0</v>
      </c>
      <c r="Q774" s="6">
        <f t="shared" ref="Q774" si="1674">+L774-M774-N774+P774</f>
        <v>48.24</v>
      </c>
      <c r="R774" s="3"/>
      <c r="S774" s="3">
        <v>38.78</v>
      </c>
      <c r="T774" s="3">
        <v>1.98</v>
      </c>
      <c r="U774" s="3"/>
      <c r="V774" s="3">
        <v>0</v>
      </c>
      <c r="W774" s="3"/>
      <c r="X774" s="2">
        <f t="shared" ref="X774" si="1675">+S774+T774++U774+V774-W774</f>
        <v>40.76</v>
      </c>
      <c r="Y774" s="6">
        <f t="shared" ref="Y774" si="1676">+Q774-X774</f>
        <v>7.480000000000004</v>
      </c>
      <c r="Z774" s="2"/>
      <c r="AA774" s="2"/>
      <c r="AB774" s="2"/>
      <c r="AC774" s="3"/>
      <c r="AD774" s="2"/>
      <c r="AE774" s="2"/>
      <c r="AF774" s="2"/>
      <c r="AG774" s="2"/>
      <c r="AH774" s="2" t="s">
        <v>3462</v>
      </c>
      <c r="AI774" s="2" t="s">
        <v>3461</v>
      </c>
      <c r="AJ774" s="2"/>
      <c r="AK774" s="2"/>
      <c r="AL774" s="2"/>
      <c r="AM774" s="5" t="s">
        <v>3256</v>
      </c>
      <c r="AN774" s="2"/>
      <c r="AO774" s="5" t="s">
        <v>3256</v>
      </c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</row>
    <row r="775" spans="2:58" ht="17.25" customHeight="1">
      <c r="C775" s="1">
        <v>43955</v>
      </c>
      <c r="E775" s="2" t="s">
        <v>2979</v>
      </c>
      <c r="F775" s="2"/>
      <c r="G775" s="2" t="s">
        <v>3444</v>
      </c>
      <c r="H775" s="2" t="s">
        <v>3443</v>
      </c>
      <c r="I775" s="2"/>
      <c r="J775" s="2">
        <v>1</v>
      </c>
      <c r="K775" s="28" t="s">
        <v>3449</v>
      </c>
      <c r="L775" s="3">
        <v>56.85</v>
      </c>
      <c r="M775" s="3">
        <v>5.68</v>
      </c>
      <c r="N775" s="3">
        <v>3</v>
      </c>
      <c r="O775" s="3">
        <v>0</v>
      </c>
      <c r="P775" s="3">
        <f>4.41-4.41</f>
        <v>0</v>
      </c>
      <c r="Q775" s="6">
        <f t="shared" ref="Q775" si="1677">+L775-M775-N775+P775</f>
        <v>48.17</v>
      </c>
      <c r="R775" s="3"/>
      <c r="S775" s="3">
        <v>37.01</v>
      </c>
      <c r="T775" s="3">
        <v>2.87</v>
      </c>
      <c r="U775" s="3"/>
      <c r="V775" s="3">
        <v>0</v>
      </c>
      <c r="W775" s="3"/>
      <c r="X775" s="2">
        <f t="shared" ref="X775" si="1678">+S775+T775++U775+V775-W775</f>
        <v>39.879999999999995</v>
      </c>
      <c r="Y775" s="6">
        <f t="shared" ref="Y775" si="1679">+Q775-X775</f>
        <v>8.2900000000000063</v>
      </c>
      <c r="Z775" s="2"/>
      <c r="AA775" s="2"/>
      <c r="AB775" s="2"/>
      <c r="AC775" s="3"/>
      <c r="AD775" s="2"/>
      <c r="AE775" s="2"/>
      <c r="AF775" s="2"/>
      <c r="AG775" s="2"/>
      <c r="AH775" s="2" t="s">
        <v>3446</v>
      </c>
      <c r="AI775" s="2" t="s">
        <v>3445</v>
      </c>
      <c r="AJ775" s="2"/>
      <c r="AK775" s="2"/>
      <c r="AL775" s="2" t="s">
        <v>3071</v>
      </c>
      <c r="AM775" s="16" t="s">
        <v>3862</v>
      </c>
      <c r="AN775" s="2"/>
      <c r="AO775" s="2" t="s">
        <v>3754</v>
      </c>
      <c r="AP775" s="16" t="s">
        <v>3694</v>
      </c>
      <c r="AQ775" s="16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</row>
    <row r="776" spans="2:58" ht="17.25" customHeight="1">
      <c r="C776" s="1">
        <v>43955</v>
      </c>
      <c r="E776" s="2" t="s">
        <v>2979</v>
      </c>
      <c r="F776" s="2"/>
      <c r="G776" s="2" t="s">
        <v>3963</v>
      </c>
      <c r="H776" s="2" t="s">
        <v>3796</v>
      </c>
      <c r="I776" s="2"/>
      <c r="J776" s="2">
        <v>0</v>
      </c>
      <c r="K776" s="2" t="s">
        <v>3449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6">
        <f t="shared" ref="Q776" si="1680">+L776-M776-N776+P776</f>
        <v>0</v>
      </c>
      <c r="R776" s="3"/>
      <c r="S776" s="3">
        <v>0</v>
      </c>
      <c r="T776" s="3">
        <v>0</v>
      </c>
      <c r="U776" s="3"/>
      <c r="V776" s="3">
        <v>0</v>
      </c>
      <c r="W776" s="3"/>
      <c r="X776" s="2">
        <f t="shared" ref="X776" si="1681">+S776+T776++U776+V776-W776</f>
        <v>0</v>
      </c>
      <c r="Y776" s="6">
        <f t="shared" ref="Y776" si="1682">+Q776-X776</f>
        <v>0</v>
      </c>
      <c r="Z776" s="2"/>
      <c r="AA776" s="2"/>
      <c r="AB776" s="2"/>
      <c r="AC776" s="3"/>
      <c r="AD776" s="2"/>
      <c r="AE776" s="2"/>
      <c r="AF776" s="2"/>
      <c r="AG776" s="2"/>
      <c r="AH776" s="2" t="s">
        <v>3448</v>
      </c>
      <c r="AI776" s="2" t="s">
        <v>3447</v>
      </c>
      <c r="AJ776" s="2"/>
      <c r="AK776" s="2"/>
      <c r="AL776" s="2"/>
      <c r="AM776" s="5" t="s">
        <v>3256</v>
      </c>
      <c r="AN776" s="2"/>
      <c r="AO776" s="5" t="s">
        <v>3256</v>
      </c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</row>
    <row r="777" spans="2:58" ht="17.25" customHeight="1">
      <c r="C777" s="1">
        <v>43955</v>
      </c>
      <c r="E777" s="2" t="s">
        <v>3158</v>
      </c>
      <c r="F777" s="2"/>
      <c r="G777" s="2" t="s">
        <v>3440</v>
      </c>
      <c r="H777" s="2" t="s">
        <v>3767</v>
      </c>
      <c r="I777" s="2"/>
      <c r="J777" s="2">
        <v>0</v>
      </c>
      <c r="K777" s="2" t="s">
        <v>3449</v>
      </c>
      <c r="L777" s="3">
        <v>0</v>
      </c>
      <c r="M777" s="3">
        <v>0</v>
      </c>
      <c r="N777" s="3">
        <v>0</v>
      </c>
      <c r="O777" s="3"/>
      <c r="P777" s="3">
        <v>0</v>
      </c>
      <c r="Q777" s="6">
        <f t="shared" ref="Q777" si="1683">+L777-M777-N777+P777</f>
        <v>0</v>
      </c>
      <c r="R777" s="3"/>
      <c r="S777" s="3">
        <v>0</v>
      </c>
      <c r="T777" s="3">
        <v>0</v>
      </c>
      <c r="U777" s="3"/>
      <c r="V777" s="3"/>
      <c r="W777" s="3"/>
      <c r="X777" s="2">
        <f t="shared" ref="X777" si="1684">+S777+T777++U777+V777-W777</f>
        <v>0</v>
      </c>
      <c r="Y777" s="6">
        <f t="shared" ref="Y777" si="1685">+Q777-X777</f>
        <v>0</v>
      </c>
      <c r="Z777" s="2"/>
      <c r="AA777" s="2"/>
      <c r="AB777" s="2"/>
      <c r="AC777" s="3"/>
      <c r="AD777" s="2"/>
      <c r="AE777" s="2"/>
      <c r="AF777" s="2"/>
      <c r="AG777" s="2"/>
      <c r="AH777" s="2" t="s">
        <v>3442</v>
      </c>
      <c r="AI777" s="2" t="s">
        <v>3441</v>
      </c>
      <c r="AJ777" s="2"/>
      <c r="AK777" s="2"/>
      <c r="AL777" s="2"/>
      <c r="AM777" s="5" t="s">
        <v>3256</v>
      </c>
      <c r="AN777" s="2"/>
      <c r="AO777" s="5" t="s">
        <v>3256</v>
      </c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</row>
    <row r="778" spans="2:58" ht="17.25" customHeight="1">
      <c r="C778" s="1">
        <v>43955</v>
      </c>
      <c r="E778" s="2" t="s">
        <v>3421</v>
      </c>
      <c r="F778" s="2"/>
      <c r="G778" s="2" t="s">
        <v>3438</v>
      </c>
      <c r="H778" s="2" t="s">
        <v>3439</v>
      </c>
      <c r="I778" s="2"/>
      <c r="J778" s="2">
        <v>1</v>
      </c>
      <c r="K778" s="13" t="s">
        <v>3449</v>
      </c>
      <c r="L778" s="3">
        <v>83.5</v>
      </c>
      <c r="M778" s="3">
        <v>8.35</v>
      </c>
      <c r="N778" s="3">
        <v>4.1399999999999997</v>
      </c>
      <c r="O778" s="3">
        <v>17</v>
      </c>
      <c r="P778" s="3">
        <f>3.76-3.76</f>
        <v>0</v>
      </c>
      <c r="Q778" s="6">
        <f>+L778-M778-N778+P778+O778</f>
        <v>88.01</v>
      </c>
      <c r="R778" s="3"/>
      <c r="S778" s="3">
        <v>65.19</v>
      </c>
      <c r="T778" s="3">
        <v>3.89</v>
      </c>
      <c r="U778" s="3">
        <v>17.43</v>
      </c>
      <c r="V778" s="3"/>
      <c r="W778" s="3">
        <f>6.51+0.3</f>
        <v>6.81</v>
      </c>
      <c r="X778" s="2">
        <f t="shared" ref="X778:X779" si="1686">+S778+T778++U778+V778-W778</f>
        <v>79.699999999999989</v>
      </c>
      <c r="Y778" s="6">
        <f t="shared" ref="Y778:Y779" si="1687">+Q778-X778</f>
        <v>8.3100000000000165</v>
      </c>
      <c r="Z778" s="6">
        <f>SUM(Y764:Y778)</f>
        <v>100.72000000000004</v>
      </c>
      <c r="AA778" s="2"/>
      <c r="AB778" s="2"/>
      <c r="AC778" s="3"/>
      <c r="AD778" s="2"/>
      <c r="AE778" s="2"/>
      <c r="AF778" s="2"/>
      <c r="AG778" s="2"/>
      <c r="AH778" s="2" t="s">
        <v>3437</v>
      </c>
      <c r="AI778" s="2" t="s">
        <v>3436</v>
      </c>
      <c r="AJ778" s="2"/>
      <c r="AK778" s="2"/>
      <c r="AL778" s="2" t="s">
        <v>2926</v>
      </c>
      <c r="AM778" s="16" t="s">
        <v>4455</v>
      </c>
      <c r="AN778" s="2">
        <v>1</v>
      </c>
      <c r="AO778" s="16" t="s">
        <v>4407</v>
      </c>
      <c r="AP778" s="2" t="s">
        <v>3696</v>
      </c>
      <c r="AQ778" s="2"/>
      <c r="AR778" s="16" t="s">
        <v>4408</v>
      </c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</row>
    <row r="779" spans="2:58" ht="17.25" customHeight="1">
      <c r="C779" s="1">
        <v>43954</v>
      </c>
      <c r="E779" s="2" t="s">
        <v>3405</v>
      </c>
      <c r="F779" s="2"/>
      <c r="G779" s="2" t="s">
        <v>3404</v>
      </c>
      <c r="H779" s="2" t="s">
        <v>3403</v>
      </c>
      <c r="I779" s="2"/>
      <c r="J779" s="2">
        <v>1</v>
      </c>
      <c r="K779" s="2" t="s">
        <v>3449</v>
      </c>
      <c r="L779" s="3">
        <v>41.7</v>
      </c>
      <c r="M779" s="3">
        <v>4.17</v>
      </c>
      <c r="N779" s="3">
        <v>2.2599999999999998</v>
      </c>
      <c r="O779" s="3"/>
      <c r="P779" s="3">
        <f>2.92-2.92</f>
        <v>0</v>
      </c>
      <c r="Q779" s="6">
        <f t="shared" ref="Q779" si="1688">+L779-M779-N779+P779</f>
        <v>35.270000000000003</v>
      </c>
      <c r="R779" s="3"/>
      <c r="S779" s="3">
        <v>25.98</v>
      </c>
      <c r="T779" s="3">
        <v>1.82</v>
      </c>
      <c r="U779" s="3"/>
      <c r="V779" s="3"/>
      <c r="W779" s="3"/>
      <c r="X779" s="2">
        <f t="shared" si="1686"/>
        <v>27.8</v>
      </c>
      <c r="Y779" s="6">
        <f t="shared" si="1687"/>
        <v>7.4700000000000024</v>
      </c>
      <c r="Z779" s="2"/>
      <c r="AA779" s="2"/>
      <c r="AB779" s="2"/>
      <c r="AC779" s="3"/>
      <c r="AD779" s="2"/>
      <c r="AE779" s="2"/>
      <c r="AF779" s="2"/>
      <c r="AG779" s="2"/>
      <c r="AH779" s="2" t="s">
        <v>3434</v>
      </c>
      <c r="AI779" s="2" t="s">
        <v>3433</v>
      </c>
      <c r="AJ779" s="2"/>
      <c r="AK779" s="2"/>
      <c r="AL779" s="2" t="s">
        <v>2926</v>
      </c>
      <c r="AM779" s="16" t="s">
        <v>4081</v>
      </c>
      <c r="AN779" s="2"/>
      <c r="AO779" s="2" t="s">
        <v>3771</v>
      </c>
      <c r="AP779" s="2" t="s">
        <v>3772</v>
      </c>
      <c r="AQ779" s="2"/>
      <c r="AR779" s="16" t="s">
        <v>3739</v>
      </c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</row>
    <row r="780" spans="2:58" ht="17.25" customHeight="1">
      <c r="C780" s="1">
        <v>43954</v>
      </c>
      <c r="E780" s="2" t="s">
        <v>2979</v>
      </c>
      <c r="F780" s="2"/>
      <c r="G780" s="2" t="s">
        <v>4418</v>
      </c>
      <c r="H780" s="2" t="s">
        <v>4567</v>
      </c>
      <c r="I780" s="2"/>
      <c r="J780" s="2">
        <v>1</v>
      </c>
      <c r="K780" s="2" t="s">
        <v>3449</v>
      </c>
      <c r="L780" s="3">
        <v>56.65</v>
      </c>
      <c r="M780" s="3">
        <v>5.66</v>
      </c>
      <c r="N780" s="3">
        <v>3</v>
      </c>
      <c r="O780" s="3">
        <v>0</v>
      </c>
      <c r="P780" s="3">
        <f>4.67-4.67</f>
        <v>0</v>
      </c>
      <c r="Q780" s="6">
        <f t="shared" ref="Q780:Q781" si="1689">+L780-M780-N780+P780</f>
        <v>47.989999999999995</v>
      </c>
      <c r="R780" s="3"/>
      <c r="S780" s="3">
        <v>38.78</v>
      </c>
      <c r="T780" s="3">
        <v>3.19</v>
      </c>
      <c r="U780" s="3"/>
      <c r="V780" s="3">
        <v>0</v>
      </c>
      <c r="W780" s="3"/>
      <c r="X780" s="2">
        <f t="shared" ref="X780:X781" si="1690">+S780+T780++U780+V780-W780</f>
        <v>41.97</v>
      </c>
      <c r="Y780" s="6">
        <f t="shared" ref="Y780:Y781" si="1691">+Q780-X780</f>
        <v>6.019999999999996</v>
      </c>
      <c r="Z780" s="2"/>
      <c r="AA780" s="2"/>
      <c r="AB780" s="2"/>
      <c r="AC780" s="3"/>
      <c r="AD780" s="2"/>
      <c r="AE780" s="2"/>
      <c r="AF780" s="2"/>
      <c r="AG780" s="2"/>
      <c r="AH780" s="2" t="s">
        <v>3428</v>
      </c>
      <c r="AI780" s="2" t="s">
        <v>3427</v>
      </c>
      <c r="AJ780" s="2"/>
      <c r="AK780" s="2"/>
      <c r="AL780" s="2" t="s">
        <v>3071</v>
      </c>
      <c r="AM780" s="16" t="s">
        <v>3717</v>
      </c>
      <c r="AN780" s="2"/>
      <c r="AO780" s="2" t="s">
        <v>3638</v>
      </c>
      <c r="AP780" s="2" t="s">
        <v>3519</v>
      </c>
      <c r="AQ780" s="2"/>
      <c r="AR780" s="16" t="s">
        <v>3518</v>
      </c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</row>
    <row r="781" spans="2:58" ht="17.25" customHeight="1">
      <c r="C781" s="1">
        <v>43954</v>
      </c>
      <c r="E781" s="2" t="s">
        <v>3157</v>
      </c>
      <c r="F781" s="2" t="s">
        <v>5213</v>
      </c>
      <c r="G781" s="2" t="s">
        <v>3799</v>
      </c>
      <c r="H781" s="2" t="s">
        <v>4855</v>
      </c>
      <c r="I781" s="2"/>
      <c r="J781" s="2">
        <v>1</v>
      </c>
      <c r="K781" s="2" t="s">
        <v>3449</v>
      </c>
      <c r="L781" s="3">
        <v>75.150000000000006</v>
      </c>
      <c r="M781" s="3">
        <v>7.51</v>
      </c>
      <c r="N781" s="3">
        <v>3.61</v>
      </c>
      <c r="O781" s="3"/>
      <c r="P781" s="3">
        <v>0</v>
      </c>
      <c r="Q781" s="6">
        <f t="shared" si="1689"/>
        <v>64.03</v>
      </c>
      <c r="R781" s="3"/>
      <c r="S781" s="3">
        <v>49</v>
      </c>
      <c r="T781" s="3">
        <v>5.64</v>
      </c>
      <c r="U781" s="3"/>
      <c r="V781" s="3"/>
      <c r="W781" s="3"/>
      <c r="X781" s="2">
        <f t="shared" si="1690"/>
        <v>54.64</v>
      </c>
      <c r="Y781" s="6">
        <f t="shared" si="1691"/>
        <v>9.39</v>
      </c>
      <c r="Z781" s="2"/>
      <c r="AA781" s="2"/>
      <c r="AB781" s="2"/>
      <c r="AC781" s="3"/>
      <c r="AD781" s="2"/>
      <c r="AE781" s="2"/>
      <c r="AF781" s="2"/>
      <c r="AG781" s="2"/>
      <c r="AH781" s="2" t="s">
        <v>3434</v>
      </c>
      <c r="AI781" s="2" t="s">
        <v>3435</v>
      </c>
      <c r="AJ781" s="2"/>
      <c r="AK781" s="2"/>
      <c r="AL781" s="2" t="s">
        <v>4554</v>
      </c>
      <c r="AM781" s="16" t="s">
        <v>5214</v>
      </c>
      <c r="AN781" s="2"/>
      <c r="AO781" s="2" t="s">
        <v>3458</v>
      </c>
      <c r="AP781" s="2" t="s">
        <v>3459</v>
      </c>
      <c r="AQ781" s="2"/>
      <c r="AR781" s="16" t="s">
        <v>3419</v>
      </c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</row>
    <row r="782" spans="2:58" ht="17.25" customHeight="1">
      <c r="C782" s="1">
        <v>43954</v>
      </c>
      <c r="E782" s="2" t="s">
        <v>2979</v>
      </c>
      <c r="F782" s="2"/>
      <c r="G782" s="2" t="s">
        <v>3402</v>
      </c>
      <c r="H782" s="2" t="s">
        <v>3401</v>
      </c>
      <c r="I782" s="2"/>
      <c r="J782" s="2">
        <v>1</v>
      </c>
      <c r="K782" s="2"/>
      <c r="L782" s="3">
        <v>56.85</v>
      </c>
      <c r="M782" s="3">
        <v>5.68</v>
      </c>
      <c r="N782" s="3">
        <v>2.95</v>
      </c>
      <c r="O782" s="3">
        <v>0</v>
      </c>
      <c r="P782" s="3">
        <f>3.42-3.42</f>
        <v>0</v>
      </c>
      <c r="Q782" s="6">
        <f t="shared" ref="Q782:Q783" si="1692">+L782-M782-N782+P782</f>
        <v>48.22</v>
      </c>
      <c r="R782" s="3"/>
      <c r="S782" s="3">
        <v>35.270000000000003</v>
      </c>
      <c r="T782" s="3">
        <v>2.12</v>
      </c>
      <c r="U782" s="3"/>
      <c r="V782" s="3">
        <v>0</v>
      </c>
      <c r="W782" s="3"/>
      <c r="X782" s="2">
        <f t="shared" ref="X782:X783" si="1693">+S782+T782++U782+V782-W782</f>
        <v>37.39</v>
      </c>
      <c r="Y782" s="6">
        <f t="shared" ref="Y782:Y783" si="1694">+Q782-X782</f>
        <v>10.829999999999998</v>
      </c>
      <c r="Z782" s="2"/>
      <c r="AA782" s="2"/>
      <c r="AB782" s="2"/>
      <c r="AC782" s="3"/>
      <c r="AD782" s="2"/>
      <c r="AE782" s="2"/>
      <c r="AF782" s="2"/>
      <c r="AG782" s="2"/>
      <c r="AH782" s="2" t="s">
        <v>3426</v>
      </c>
      <c r="AI782" s="2" t="s">
        <v>3425</v>
      </c>
      <c r="AJ782" s="2"/>
      <c r="AK782" s="2"/>
      <c r="AL782" s="2" t="s">
        <v>3071</v>
      </c>
      <c r="AM782" s="16" t="s">
        <v>3710</v>
      </c>
      <c r="AN782" s="2"/>
      <c r="AO782" s="2" t="s">
        <v>3587</v>
      </c>
      <c r="AP782" s="2" t="s">
        <v>3519</v>
      </c>
      <c r="AQ782" s="2"/>
      <c r="AR782" s="16" t="s">
        <v>3538</v>
      </c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</row>
    <row r="783" spans="2:58" ht="17.25" customHeight="1">
      <c r="C783" s="1">
        <v>43954</v>
      </c>
      <c r="E783" s="2" t="s">
        <v>3157</v>
      </c>
      <c r="F783" s="2" t="s">
        <v>16</v>
      </c>
      <c r="G783" s="2" t="s">
        <v>3408</v>
      </c>
      <c r="H783" s="2" t="s">
        <v>3431</v>
      </c>
      <c r="I783" s="2"/>
      <c r="J783" s="2">
        <v>1</v>
      </c>
      <c r="K783" s="25" t="s">
        <v>3449</v>
      </c>
      <c r="L783" s="3">
        <v>75.150000000000006</v>
      </c>
      <c r="M783" s="3">
        <v>7.51</v>
      </c>
      <c r="N783" s="3">
        <v>3.61</v>
      </c>
      <c r="O783" s="3"/>
      <c r="P783" s="3">
        <v>0</v>
      </c>
      <c r="Q783" s="6">
        <f t="shared" si="1692"/>
        <v>64.03</v>
      </c>
      <c r="R783" s="3"/>
      <c r="S783" s="3">
        <v>49</v>
      </c>
      <c r="T783" s="3">
        <v>5.64</v>
      </c>
      <c r="U783" s="3"/>
      <c r="V783" s="3"/>
      <c r="W783" s="3"/>
      <c r="X783" s="2">
        <f t="shared" si="1693"/>
        <v>54.64</v>
      </c>
      <c r="Y783" s="6">
        <f t="shared" si="1694"/>
        <v>9.39</v>
      </c>
      <c r="Z783" s="2"/>
      <c r="AA783" s="2"/>
      <c r="AB783" s="2"/>
      <c r="AC783" s="3"/>
      <c r="AD783" s="2"/>
      <c r="AE783" s="2"/>
      <c r="AF783" s="2"/>
      <c r="AG783" s="2"/>
      <c r="AH783" s="2" t="s">
        <v>3429</v>
      </c>
      <c r="AI783" s="2" t="s">
        <v>3430</v>
      </c>
      <c r="AJ783" s="2"/>
      <c r="AK783" s="2"/>
      <c r="AL783" s="2" t="s">
        <v>4554</v>
      </c>
      <c r="AM783" s="2" t="s">
        <v>4652</v>
      </c>
      <c r="AN783" s="2"/>
      <c r="AO783" s="2" t="s">
        <v>3479</v>
      </c>
      <c r="AP783" s="2" t="s">
        <v>3459</v>
      </c>
      <c r="AQ783" s="2"/>
      <c r="AR783" s="16" t="s">
        <v>3419</v>
      </c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</row>
    <row r="784" spans="2:58" ht="17.25" customHeight="1">
      <c r="C784" s="1">
        <v>43954</v>
      </c>
      <c r="E784" s="2" t="s">
        <v>2979</v>
      </c>
      <c r="F784" s="2"/>
      <c r="G784" s="2" t="s">
        <v>3407</v>
      </c>
      <c r="H784" s="2" t="s">
        <v>3406</v>
      </c>
      <c r="I784" s="2"/>
      <c r="J784" s="2">
        <v>1</v>
      </c>
      <c r="K784" s="25" t="s">
        <v>3449</v>
      </c>
      <c r="L784" s="3">
        <v>56.65</v>
      </c>
      <c r="M784" s="3">
        <v>5.66</v>
      </c>
      <c r="N784" s="3">
        <v>3</v>
      </c>
      <c r="O784" s="3">
        <v>0</v>
      </c>
      <c r="P784" s="3">
        <f>4.67-4.67</f>
        <v>0</v>
      </c>
      <c r="Q784" s="6">
        <f t="shared" ref="Q784" si="1695">+L784-M784-N784+P784</f>
        <v>47.989999999999995</v>
      </c>
      <c r="R784" s="3"/>
      <c r="S784" s="3">
        <v>34.01</v>
      </c>
      <c r="T784" s="3">
        <v>2.81</v>
      </c>
      <c r="U784" s="3"/>
      <c r="V784" s="3">
        <v>0</v>
      </c>
      <c r="W784" s="3"/>
      <c r="X784" s="2">
        <f t="shared" ref="X784" si="1696">+S784+T784++U784+V784-W784</f>
        <v>36.82</v>
      </c>
      <c r="Y784" s="6">
        <f t="shared" ref="Y784" si="1697">+Q784-X784</f>
        <v>11.169999999999995</v>
      </c>
      <c r="Z784" s="2"/>
      <c r="AA784" s="2"/>
      <c r="AB784" s="2"/>
      <c r="AC784" s="3"/>
      <c r="AD784" s="2"/>
      <c r="AE784" s="2"/>
      <c r="AF784" s="2"/>
      <c r="AG784" s="2"/>
      <c r="AH784" s="2" t="s">
        <v>3424</v>
      </c>
      <c r="AI784" s="2" t="s">
        <v>3423</v>
      </c>
      <c r="AJ784" s="2"/>
      <c r="AK784" s="2"/>
      <c r="AL784" s="2" t="s">
        <v>3071</v>
      </c>
      <c r="AM784" s="16" t="s">
        <v>3602</v>
      </c>
      <c r="AN784" s="2"/>
      <c r="AO784" s="2" t="s">
        <v>3523</v>
      </c>
      <c r="AP784" s="2" t="s">
        <v>3519</v>
      </c>
      <c r="AQ784" s="2"/>
      <c r="AR784" s="16" t="s">
        <v>3521</v>
      </c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</row>
    <row r="785" spans="2:58" ht="17.25" customHeight="1">
      <c r="C785" s="1">
        <v>43954</v>
      </c>
      <c r="E785" s="2" t="s">
        <v>2979</v>
      </c>
      <c r="F785" s="2"/>
      <c r="G785" s="2" t="s">
        <v>3392</v>
      </c>
      <c r="H785" s="2" t="s">
        <v>3393</v>
      </c>
      <c r="I785" s="2"/>
      <c r="J785" s="2">
        <v>1</v>
      </c>
      <c r="K785" s="2"/>
      <c r="L785" s="3">
        <v>56.65</v>
      </c>
      <c r="M785" s="3">
        <v>5.66</v>
      </c>
      <c r="N785" s="3">
        <v>3</v>
      </c>
      <c r="O785" s="3">
        <v>0</v>
      </c>
      <c r="P785" s="3">
        <f>4.67-4.67</f>
        <v>0</v>
      </c>
      <c r="Q785" s="6">
        <f t="shared" ref="Q785" si="1698">+L785-M785-N785+P785</f>
        <v>47.989999999999995</v>
      </c>
      <c r="R785" s="3"/>
      <c r="S785" s="3">
        <v>38.770000000000003</v>
      </c>
      <c r="T785" s="3">
        <v>3.2</v>
      </c>
      <c r="U785" s="3"/>
      <c r="V785" s="3">
        <v>0</v>
      </c>
      <c r="W785" s="3"/>
      <c r="X785" s="2">
        <f t="shared" ref="X785" si="1699">+S785+T785++U785+V785-W785</f>
        <v>41.970000000000006</v>
      </c>
      <c r="Y785" s="6">
        <f t="shared" ref="Y785" si="1700">+Q785-X785</f>
        <v>6.0199999999999889</v>
      </c>
      <c r="Z785" s="2"/>
      <c r="AA785" s="2"/>
      <c r="AB785" s="2"/>
      <c r="AC785" s="3"/>
      <c r="AD785" s="2"/>
      <c r="AE785" s="2"/>
      <c r="AF785" s="2"/>
      <c r="AG785" s="2"/>
      <c r="AH785" s="2" t="s">
        <v>3395</v>
      </c>
      <c r="AI785" s="2" t="s">
        <v>3394</v>
      </c>
      <c r="AJ785" s="2"/>
      <c r="AK785" s="2"/>
      <c r="AL785" s="2" t="s">
        <v>3071</v>
      </c>
      <c r="AM785" s="16" t="s">
        <v>5215</v>
      </c>
      <c r="AN785" s="2"/>
      <c r="AO785" s="2" t="s">
        <v>3549</v>
      </c>
      <c r="AP785" s="2" t="s">
        <v>3519</v>
      </c>
      <c r="AQ785" s="2"/>
      <c r="AR785" s="16" t="s">
        <v>3417</v>
      </c>
      <c r="AS785" s="5" t="s">
        <v>4579</v>
      </c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</row>
    <row r="786" spans="2:58" ht="17.25" customHeight="1">
      <c r="C786" s="1">
        <v>43954</v>
      </c>
      <c r="E786" s="2" t="s">
        <v>3157</v>
      </c>
      <c r="F786" s="2" t="s">
        <v>16</v>
      </c>
      <c r="G786" s="2" t="s">
        <v>3391</v>
      </c>
      <c r="H786" s="2" t="s">
        <v>4417</v>
      </c>
      <c r="I786" s="2"/>
      <c r="J786" s="2">
        <v>1</v>
      </c>
      <c r="K786" s="2"/>
      <c r="L786" s="3">
        <v>75.150000000000006</v>
      </c>
      <c r="M786" s="3">
        <v>7.51</v>
      </c>
      <c r="N786" s="3">
        <v>3.84</v>
      </c>
      <c r="O786" s="3"/>
      <c r="P786" s="3">
        <v>5.26</v>
      </c>
      <c r="Q786" s="6">
        <f t="shared" ref="Q786" si="1701">+L786-M786-N786+P786</f>
        <v>69.06</v>
      </c>
      <c r="R786" s="3"/>
      <c r="S786" s="3">
        <v>49</v>
      </c>
      <c r="T786" s="3">
        <v>4.2699999999999996</v>
      </c>
      <c r="U786" s="3"/>
      <c r="V786" s="3"/>
      <c r="W786" s="3"/>
      <c r="X786" s="2">
        <f t="shared" ref="X786" si="1702">+S786+T786++U786+V786-W786</f>
        <v>53.269999999999996</v>
      </c>
      <c r="Y786" s="6">
        <f t="shared" ref="Y786" si="1703">+Q786-X786</f>
        <v>15.790000000000006</v>
      </c>
      <c r="Z786" s="2"/>
      <c r="AA786" s="2"/>
      <c r="AB786" s="2"/>
      <c r="AC786" s="3"/>
      <c r="AD786" s="2"/>
      <c r="AE786" s="2"/>
      <c r="AF786" s="2"/>
      <c r="AG786" s="2"/>
      <c r="AH786" s="2" t="s">
        <v>3397</v>
      </c>
      <c r="AI786" s="2" t="s">
        <v>3396</v>
      </c>
      <c r="AJ786" s="2"/>
      <c r="AK786" s="2"/>
      <c r="AL786" s="2" t="s">
        <v>4228</v>
      </c>
      <c r="AM786" s="2" t="s">
        <v>4362</v>
      </c>
      <c r="AN786" s="2"/>
      <c r="AO786" s="2" t="s">
        <v>3415</v>
      </c>
      <c r="AP786" s="2" t="s">
        <v>3416</v>
      </c>
      <c r="AQ786" s="2"/>
      <c r="AR786" s="16" t="s">
        <v>3417</v>
      </c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</row>
    <row r="787" spans="2:58" ht="17.25" customHeight="1">
      <c r="C787" s="1">
        <v>43954</v>
      </c>
      <c r="E787" s="2" t="s">
        <v>2979</v>
      </c>
      <c r="F787" s="2"/>
      <c r="G787" s="2" t="s">
        <v>3387</v>
      </c>
      <c r="H787" s="2" t="s">
        <v>3388</v>
      </c>
      <c r="I787" s="2"/>
      <c r="J787" s="2">
        <v>1</v>
      </c>
      <c r="K787" s="24" t="s">
        <v>3449</v>
      </c>
      <c r="L787" s="3">
        <v>56.65</v>
      </c>
      <c r="M787" s="3">
        <v>5.66</v>
      </c>
      <c r="N787" s="3">
        <v>2.99</v>
      </c>
      <c r="O787" s="3">
        <v>0</v>
      </c>
      <c r="P787" s="3">
        <f>4.59-4.59</f>
        <v>0</v>
      </c>
      <c r="Q787" s="6">
        <f t="shared" ref="Q787" si="1704">+L787-M787-N787+P787</f>
        <v>47.999999999999993</v>
      </c>
      <c r="R787" s="3"/>
      <c r="S787" s="3">
        <v>38.770000000000003</v>
      </c>
      <c r="T787" s="3">
        <v>3.14</v>
      </c>
      <c r="U787" s="3"/>
      <c r="V787" s="3">
        <v>0</v>
      </c>
      <c r="W787" s="3"/>
      <c r="X787" s="2">
        <f t="shared" ref="X787" si="1705">+S787+T787++U787+V787-W787</f>
        <v>41.910000000000004</v>
      </c>
      <c r="Y787" s="6">
        <f t="shared" ref="Y787" si="1706">+Q787-X787</f>
        <v>6.0899999999999892</v>
      </c>
      <c r="Z787" s="2"/>
      <c r="AA787" s="2"/>
      <c r="AB787" s="2"/>
      <c r="AC787" s="3"/>
      <c r="AD787" s="2"/>
      <c r="AE787" s="2"/>
      <c r="AF787" s="2"/>
      <c r="AG787" s="2"/>
      <c r="AH787" s="2" t="s">
        <v>3390</v>
      </c>
      <c r="AI787" s="2" t="s">
        <v>3389</v>
      </c>
      <c r="AJ787" s="2"/>
      <c r="AK787" s="2"/>
      <c r="AL787" s="2" t="s">
        <v>3071</v>
      </c>
      <c r="AM787" s="16" t="s">
        <v>3601</v>
      </c>
      <c r="AN787" s="2"/>
      <c r="AO787" s="2" t="s">
        <v>3522</v>
      </c>
      <c r="AP787" s="2" t="s">
        <v>3519</v>
      </c>
      <c r="AQ787" s="2"/>
      <c r="AR787" s="16" t="s">
        <v>3521</v>
      </c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</row>
    <row r="788" spans="2:58" ht="17.25" customHeight="1">
      <c r="C788" s="1">
        <v>43954</v>
      </c>
      <c r="E788" s="2" t="s">
        <v>2964</v>
      </c>
      <c r="F788" s="2"/>
      <c r="G788" s="2" t="s">
        <v>711</v>
      </c>
      <c r="H788" s="2" t="s">
        <v>712</v>
      </c>
      <c r="I788" s="2"/>
      <c r="J788" s="2">
        <v>1</v>
      </c>
      <c r="K788" s="24" t="s">
        <v>3449</v>
      </c>
      <c r="L788" s="3">
        <v>83.5</v>
      </c>
      <c r="M788" s="3">
        <v>8.35</v>
      </c>
      <c r="N788" s="3">
        <v>4.3499999999999996</v>
      </c>
      <c r="O788" s="3">
        <v>0</v>
      </c>
      <c r="P788" s="3">
        <f>6.05-6.05</f>
        <v>0</v>
      </c>
      <c r="Q788" s="6">
        <f t="shared" ref="Q788" si="1707">+L788-M788-N788+P788</f>
        <v>70.800000000000011</v>
      </c>
      <c r="R788" s="3"/>
      <c r="S788" s="3">
        <v>65.19</v>
      </c>
      <c r="T788" s="3">
        <v>4.72</v>
      </c>
      <c r="U788" s="3"/>
      <c r="V788" s="3"/>
      <c r="W788" s="3">
        <f>6.51+0.67</f>
        <v>7.18</v>
      </c>
      <c r="X788" s="2">
        <f t="shared" ref="X788" si="1708">+S788+T788++U788+V788-W788</f>
        <v>62.73</v>
      </c>
      <c r="Y788" s="6">
        <f t="shared" ref="Y788" si="1709">+Q788-X788</f>
        <v>8.0700000000000145</v>
      </c>
      <c r="Z788" s="2"/>
      <c r="AA788" s="2"/>
      <c r="AB788" s="2"/>
      <c r="AC788" s="3"/>
      <c r="AD788" s="2"/>
      <c r="AE788" s="2"/>
      <c r="AF788" s="2"/>
      <c r="AG788" s="2"/>
      <c r="AH788" s="2" t="s">
        <v>709</v>
      </c>
      <c r="AI788" s="2" t="s">
        <v>708</v>
      </c>
      <c r="AJ788" s="2"/>
      <c r="AK788" s="2"/>
      <c r="AL788" s="2" t="s">
        <v>3071</v>
      </c>
      <c r="AM788" s="16" t="s">
        <v>3508</v>
      </c>
      <c r="AN788" s="2"/>
      <c r="AO788" s="2" t="s">
        <v>3455</v>
      </c>
      <c r="AP788" s="2" t="s">
        <v>2887</v>
      </c>
      <c r="AQ788" s="2"/>
      <c r="AR788" s="16" t="s">
        <v>3453</v>
      </c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</row>
    <row r="789" spans="2:58" ht="17.25" customHeight="1">
      <c r="C789" s="1">
        <v>43954</v>
      </c>
      <c r="E789" s="2" t="s">
        <v>2979</v>
      </c>
      <c r="F789" s="2"/>
      <c r="G789" s="2" t="s">
        <v>3384</v>
      </c>
      <c r="H789" s="2" t="s">
        <v>3450</v>
      </c>
      <c r="I789" s="2"/>
      <c r="J789" s="2">
        <v>1</v>
      </c>
      <c r="K789" s="24" t="s">
        <v>3449</v>
      </c>
      <c r="L789" s="3">
        <v>56.65</v>
      </c>
      <c r="M789" s="3">
        <v>5.66</v>
      </c>
      <c r="N789" s="3">
        <v>3</v>
      </c>
      <c r="O789" s="3">
        <v>0</v>
      </c>
      <c r="P789" s="3">
        <f>4.67-4.67</f>
        <v>0</v>
      </c>
      <c r="Q789" s="6">
        <f t="shared" ref="Q789" si="1710">+L789-M789-N789+P789</f>
        <v>47.989999999999995</v>
      </c>
      <c r="R789" s="3"/>
      <c r="S789" s="3">
        <v>38.78</v>
      </c>
      <c r="T789" s="3">
        <v>3.2</v>
      </c>
      <c r="U789" s="3"/>
      <c r="V789" s="3">
        <v>0</v>
      </c>
      <c r="W789" s="3"/>
      <c r="X789" s="2">
        <f t="shared" ref="X789" si="1711">+S789+T789++U789+V789-W789</f>
        <v>41.980000000000004</v>
      </c>
      <c r="Y789" s="6">
        <f t="shared" ref="Y789" si="1712">+Q789-X789</f>
        <v>6.0099999999999909</v>
      </c>
      <c r="Z789" s="2"/>
      <c r="AA789" s="2"/>
      <c r="AB789" s="2"/>
      <c r="AC789" s="3"/>
      <c r="AD789" s="2"/>
      <c r="AE789" s="2"/>
      <c r="AF789" s="2"/>
      <c r="AG789" s="2"/>
      <c r="AH789" s="2" t="s">
        <v>3386</v>
      </c>
      <c r="AI789" s="2" t="s">
        <v>3385</v>
      </c>
      <c r="AJ789" s="2"/>
      <c r="AK789" s="2"/>
      <c r="AL789" s="2" t="s">
        <v>3071</v>
      </c>
      <c r="AM789" s="16" t="s">
        <v>3599</v>
      </c>
      <c r="AN789" s="2"/>
      <c r="AO789" s="2" t="s">
        <v>3520</v>
      </c>
      <c r="AP789" s="2" t="s">
        <v>3519</v>
      </c>
      <c r="AQ789" s="2"/>
      <c r="AR789" s="16" t="s">
        <v>3521</v>
      </c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</row>
    <row r="790" spans="2:58" ht="17.25" customHeight="1">
      <c r="B790" t="s">
        <v>2887</v>
      </c>
      <c r="C790" s="1">
        <v>43954</v>
      </c>
      <c r="E790" s="2" t="s">
        <v>3158</v>
      </c>
      <c r="F790" s="2" t="s">
        <v>3908</v>
      </c>
      <c r="G790" s="2" t="s">
        <v>4167</v>
      </c>
      <c r="H790" s="2" t="s">
        <v>3929</v>
      </c>
      <c r="I790" s="2"/>
      <c r="J790" s="2">
        <v>1</v>
      </c>
      <c r="K790" s="2" t="s">
        <v>3449</v>
      </c>
      <c r="L790" s="3">
        <v>107.25</v>
      </c>
      <c r="M790" s="3">
        <v>10.72</v>
      </c>
      <c r="N790" s="3">
        <v>5.4</v>
      </c>
      <c r="O790" s="3"/>
      <c r="P790" s="3">
        <f>8.58-8.58</f>
        <v>0</v>
      </c>
      <c r="Q790" s="6">
        <f t="shared" ref="Q790" si="1713">+L790-M790-N790+P790</f>
        <v>91.13</v>
      </c>
      <c r="R790" s="3"/>
      <c r="S790" s="3">
        <v>75.989999999999995</v>
      </c>
      <c r="T790" s="3">
        <v>6.08</v>
      </c>
      <c r="U790" s="3"/>
      <c r="V790" s="3"/>
      <c r="W790" s="3"/>
      <c r="X790" s="2">
        <f t="shared" ref="X790" si="1714">+S790+T790++U790+V790-W790</f>
        <v>82.07</v>
      </c>
      <c r="Y790" s="6">
        <f t="shared" ref="Y790" si="1715">+Q790-X790</f>
        <v>9.0600000000000023</v>
      </c>
      <c r="Z790" s="2"/>
      <c r="AA790" s="2"/>
      <c r="AB790" s="2"/>
      <c r="AC790" s="3"/>
      <c r="AD790" s="2"/>
      <c r="AE790" s="2"/>
      <c r="AF790" s="2"/>
      <c r="AG790" s="2"/>
      <c r="AH790" s="2" t="s">
        <v>3371</v>
      </c>
      <c r="AI790" s="2" t="s">
        <v>3370</v>
      </c>
      <c r="AJ790" s="2"/>
      <c r="AK790" s="2"/>
      <c r="AL790" s="2" t="s">
        <v>4421</v>
      </c>
      <c r="AM790" s="16" t="s">
        <v>4420</v>
      </c>
      <c r="AN790" s="2"/>
      <c r="AO790" s="2" t="s">
        <v>3928</v>
      </c>
      <c r="AP790" s="2" t="s">
        <v>3459</v>
      </c>
      <c r="AQ790" s="2"/>
      <c r="AR790" s="16" t="s">
        <v>3795</v>
      </c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</row>
    <row r="791" spans="2:58" ht="17.25" customHeight="1">
      <c r="C791" s="1">
        <v>43954</v>
      </c>
      <c r="E791" s="2" t="s">
        <v>34</v>
      </c>
      <c r="F791" s="2"/>
      <c r="G791" s="2" t="s">
        <v>3366</v>
      </c>
      <c r="H791" s="2" t="s">
        <v>3367</v>
      </c>
      <c r="I791" s="2"/>
      <c r="J791" s="2">
        <v>1</v>
      </c>
      <c r="K791" s="2" t="s">
        <v>3449</v>
      </c>
      <c r="L791" s="3">
        <v>30.5</v>
      </c>
      <c r="M791" s="3">
        <v>3.05</v>
      </c>
      <c r="N791" s="3">
        <v>1.72</v>
      </c>
      <c r="O791" s="3"/>
      <c r="P791" s="3"/>
      <c r="Q791" s="6">
        <f t="shared" ref="Q791:Q793" si="1716">+L791-M791-N791+P791</f>
        <v>25.73</v>
      </c>
      <c r="R791" s="3"/>
      <c r="S791" s="3">
        <v>18.489999999999998</v>
      </c>
      <c r="T791" s="3">
        <v>1.1100000000000001</v>
      </c>
      <c r="U791" s="3"/>
      <c r="V791" s="3"/>
      <c r="W791" s="3"/>
      <c r="X791" s="2">
        <f t="shared" ref="X791:X792" si="1717">+S791+T791++U791+V791-W791</f>
        <v>19.599999999999998</v>
      </c>
      <c r="Y791" s="6">
        <f t="shared" ref="Y791:Y792" si="1718">+Q791-X791</f>
        <v>6.1300000000000026</v>
      </c>
      <c r="Z791" s="2"/>
      <c r="AA791" s="2"/>
      <c r="AB791" s="2"/>
      <c r="AC791" s="3"/>
      <c r="AD791" s="2"/>
      <c r="AE791" s="2"/>
      <c r="AF791" s="2"/>
      <c r="AG791" s="2"/>
      <c r="AH791" s="2" t="s">
        <v>3369</v>
      </c>
      <c r="AI791" s="2" t="s">
        <v>3368</v>
      </c>
      <c r="AJ791" s="2"/>
      <c r="AK791" s="2"/>
      <c r="AL791" s="2" t="s">
        <v>3224</v>
      </c>
      <c r="AM791" s="2" t="s">
        <v>3503</v>
      </c>
      <c r="AN791" s="2"/>
      <c r="AO791" s="2" t="s">
        <v>3502</v>
      </c>
      <c r="AP791" s="2"/>
      <c r="AQ791" s="2"/>
      <c r="AR791" s="16" t="s">
        <v>3417</v>
      </c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</row>
    <row r="792" spans="2:58" ht="17.25" customHeight="1">
      <c r="C792" s="1">
        <v>43954</v>
      </c>
      <c r="E792" s="2" t="s">
        <v>3157</v>
      </c>
      <c r="F792" s="2" t="s">
        <v>16</v>
      </c>
      <c r="G792" s="2" t="s">
        <v>3372</v>
      </c>
      <c r="H792" s="2" t="s">
        <v>4704</v>
      </c>
      <c r="I792" s="2"/>
      <c r="J792" s="2">
        <v>1</v>
      </c>
      <c r="K792" s="25" t="s">
        <v>3449</v>
      </c>
      <c r="L792" s="3">
        <v>75.150000000000006</v>
      </c>
      <c r="M792" s="3">
        <v>7.51</v>
      </c>
      <c r="N792" s="3">
        <v>3.61</v>
      </c>
      <c r="O792" s="3"/>
      <c r="P792" s="3"/>
      <c r="Q792" s="6">
        <f t="shared" si="1716"/>
        <v>64.03</v>
      </c>
      <c r="R792" s="3"/>
      <c r="S792" s="3">
        <v>49</v>
      </c>
      <c r="T792" s="3">
        <v>5.64</v>
      </c>
      <c r="U792" s="3"/>
      <c r="V792" s="3"/>
      <c r="W792" s="3"/>
      <c r="X792" s="2">
        <f t="shared" si="1717"/>
        <v>54.64</v>
      </c>
      <c r="Y792" s="6">
        <f t="shared" si="1718"/>
        <v>9.39</v>
      </c>
      <c r="Z792" s="2"/>
      <c r="AA792" s="2"/>
      <c r="AB792" s="2"/>
      <c r="AC792" s="3"/>
      <c r="AD792" s="2"/>
      <c r="AE792" s="2"/>
      <c r="AF792" s="2"/>
      <c r="AG792" s="2"/>
      <c r="AH792" s="2" t="s">
        <v>3374</v>
      </c>
      <c r="AI792" s="2" t="s">
        <v>3373</v>
      </c>
      <c r="AJ792" s="2"/>
      <c r="AK792" s="2"/>
      <c r="AL792" s="2" t="s">
        <v>4554</v>
      </c>
      <c r="AM792" s="2" t="s">
        <v>4651</v>
      </c>
      <c r="AN792" s="2"/>
      <c r="AO792" s="2" t="s">
        <v>3478</v>
      </c>
      <c r="AP792" s="2" t="s">
        <v>3459</v>
      </c>
      <c r="AQ792" s="2"/>
      <c r="AR792" s="16" t="s">
        <v>3419</v>
      </c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</row>
    <row r="793" spans="2:58" ht="17.25" customHeight="1">
      <c r="C793" s="1">
        <v>43954</v>
      </c>
      <c r="E793" s="2" t="s">
        <v>3158</v>
      </c>
      <c r="F793" s="2" t="s">
        <v>3908</v>
      </c>
      <c r="G793" s="2" t="s">
        <v>4339</v>
      </c>
      <c r="H793" s="2" t="s">
        <v>3575</v>
      </c>
      <c r="I793" s="2"/>
      <c r="J793" s="2">
        <v>1</v>
      </c>
      <c r="K793" s="25" t="s">
        <v>3449</v>
      </c>
      <c r="L793" s="3">
        <v>106.95</v>
      </c>
      <c r="M793" s="3">
        <v>10.69</v>
      </c>
      <c r="N793" s="3">
        <v>5.01</v>
      </c>
      <c r="O793" s="3"/>
      <c r="P793" s="3">
        <f>8.81-8.81</f>
        <v>0</v>
      </c>
      <c r="Q793" s="6">
        <f t="shared" si="1716"/>
        <v>91.25</v>
      </c>
      <c r="R793" s="3"/>
      <c r="S793" s="3">
        <v>75.989999999999995</v>
      </c>
      <c r="T793" s="3">
        <v>8.74</v>
      </c>
      <c r="U793" s="3"/>
      <c r="V793" s="3"/>
      <c r="W793" s="3"/>
      <c r="X793" s="2">
        <f t="shared" ref="X793" si="1719">+S793+T793++U793+V793-W793</f>
        <v>84.72999999999999</v>
      </c>
      <c r="Y793" s="6">
        <f t="shared" ref="Y793" si="1720">+Q793-X793</f>
        <v>6.5200000000000102</v>
      </c>
      <c r="Z793" s="2"/>
      <c r="AA793" s="2"/>
      <c r="AB793" s="2"/>
      <c r="AC793" s="3"/>
      <c r="AD793" s="2"/>
      <c r="AE793" s="2"/>
      <c r="AF793" s="2"/>
      <c r="AG793" s="2"/>
      <c r="AH793" s="2" t="s">
        <v>3365</v>
      </c>
      <c r="AI793" s="2" t="s">
        <v>3364</v>
      </c>
      <c r="AJ793" s="2"/>
      <c r="AK793" s="2"/>
      <c r="AL793" s="2" t="s">
        <v>4571</v>
      </c>
      <c r="AM793" s="16" t="s">
        <v>5041</v>
      </c>
      <c r="AN793" s="2"/>
      <c r="AO793" s="10" t="s">
        <v>3576</v>
      </c>
      <c r="AP793" s="2" t="s">
        <v>2934</v>
      </c>
      <c r="AQ793" s="2"/>
      <c r="AR793" s="16" t="s">
        <v>3230</v>
      </c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</row>
    <row r="794" spans="2:58" ht="17.25" customHeight="1">
      <c r="C794" s="1">
        <v>43954</v>
      </c>
      <c r="E794" s="2" t="s">
        <v>2979</v>
      </c>
      <c r="F794" s="2"/>
      <c r="G794" s="2" t="s">
        <v>3358</v>
      </c>
      <c r="H794" s="2" t="s">
        <v>3359</v>
      </c>
      <c r="I794" s="2"/>
      <c r="J794" s="2">
        <v>1</v>
      </c>
      <c r="K794" s="24" t="s">
        <v>3449</v>
      </c>
      <c r="L794" s="3">
        <v>55.85</v>
      </c>
      <c r="M794" s="3">
        <v>5.58</v>
      </c>
      <c r="N794" s="3">
        <v>2.93</v>
      </c>
      <c r="O794" s="3">
        <v>0</v>
      </c>
      <c r="P794" s="3">
        <v>3.91</v>
      </c>
      <c r="Q794" s="6">
        <f t="shared" ref="Q794" si="1721">+L794-M794-N794+P794</f>
        <v>51.25</v>
      </c>
      <c r="R794" s="3"/>
      <c r="S794" s="3">
        <v>38.770000000000003</v>
      </c>
      <c r="T794" s="3">
        <v>2.52</v>
      </c>
      <c r="U794" s="3"/>
      <c r="V794" s="3">
        <v>0</v>
      </c>
      <c r="W794" s="3"/>
      <c r="X794" s="2">
        <f t="shared" ref="X794" si="1722">+S794+T794++U794+V794-W794</f>
        <v>41.290000000000006</v>
      </c>
      <c r="Y794" s="6">
        <f t="shared" ref="Y794" si="1723">+Q794-X794</f>
        <v>9.9599999999999937</v>
      </c>
      <c r="Z794" s="2"/>
      <c r="AA794" s="2"/>
      <c r="AB794" s="2"/>
      <c r="AC794" s="3"/>
      <c r="AD794" s="2"/>
      <c r="AE794" s="2"/>
      <c r="AF794" s="2"/>
      <c r="AG794" s="2"/>
      <c r="AH794" s="2" t="s">
        <v>3361</v>
      </c>
      <c r="AI794" s="2" t="s">
        <v>3360</v>
      </c>
      <c r="AJ794" s="2"/>
      <c r="AK794" s="2"/>
      <c r="AL794" s="2" t="s">
        <v>3071</v>
      </c>
      <c r="AM794" s="16" t="s">
        <v>3600</v>
      </c>
      <c r="AN794" s="2"/>
      <c r="AO794" s="2" t="s">
        <v>3517</v>
      </c>
      <c r="AP794" s="2" t="s">
        <v>3519</v>
      </c>
      <c r="AQ794" s="2"/>
      <c r="AR794" s="16" t="s">
        <v>3518</v>
      </c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</row>
    <row r="795" spans="2:58" ht="17.25" customHeight="1">
      <c r="C795" s="1">
        <v>43954</v>
      </c>
      <c r="E795" s="2" t="s">
        <v>2979</v>
      </c>
      <c r="F795" s="2"/>
      <c r="G795" s="2" t="s">
        <v>3357</v>
      </c>
      <c r="H795" s="2" t="s">
        <v>3757</v>
      </c>
      <c r="I795" s="2"/>
      <c r="J795" s="2">
        <v>0</v>
      </c>
      <c r="K795" s="2" t="s">
        <v>3449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6">
        <f t="shared" ref="Q795" si="1724">+L795-M795-N795+P795</f>
        <v>0</v>
      </c>
      <c r="R795" s="3"/>
      <c r="S795" s="3">
        <v>0</v>
      </c>
      <c r="T795" s="3">
        <v>0</v>
      </c>
      <c r="U795" s="3"/>
      <c r="V795" s="3">
        <v>0</v>
      </c>
      <c r="W795" s="3"/>
      <c r="X795" s="2">
        <f t="shared" ref="X795" si="1725">+S795+T795++U795+V795-W795</f>
        <v>0</v>
      </c>
      <c r="Y795" s="6">
        <f t="shared" ref="Y795" si="1726">+Q795-X795</f>
        <v>0</v>
      </c>
      <c r="Z795" s="2"/>
      <c r="AA795" s="2"/>
      <c r="AB795" s="2"/>
      <c r="AC795" s="3"/>
      <c r="AD795" s="2"/>
      <c r="AE795" s="2"/>
      <c r="AF795" s="2"/>
      <c r="AG795" s="2"/>
      <c r="AH795" s="2" t="s">
        <v>3363</v>
      </c>
      <c r="AI795" s="2" t="s">
        <v>3362</v>
      </c>
      <c r="AJ795" s="2"/>
      <c r="AK795" s="2"/>
      <c r="AL795" s="2"/>
      <c r="AM795" s="5" t="s">
        <v>493</v>
      </c>
      <c r="AN795" s="2"/>
      <c r="AO795" s="5" t="s">
        <v>3256</v>
      </c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</row>
    <row r="796" spans="2:58" ht="17.25" customHeight="1">
      <c r="C796" s="1">
        <v>43954</v>
      </c>
      <c r="E796" s="2" t="s">
        <v>2979</v>
      </c>
      <c r="F796" s="2"/>
      <c r="G796" s="2" t="s">
        <v>3353</v>
      </c>
      <c r="H796" s="2" t="s">
        <v>3766</v>
      </c>
      <c r="I796" s="2"/>
      <c r="J796" s="2">
        <v>0</v>
      </c>
      <c r="K796" s="2" t="s">
        <v>3449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6">
        <f t="shared" ref="Q796" si="1727">+L796-M796-N796+P796</f>
        <v>0</v>
      </c>
      <c r="R796" s="3"/>
      <c r="S796" s="3">
        <v>0</v>
      </c>
      <c r="T796" s="3">
        <v>0</v>
      </c>
      <c r="U796" s="3"/>
      <c r="V796" s="3">
        <v>0</v>
      </c>
      <c r="W796" s="3"/>
      <c r="X796" s="2">
        <f t="shared" ref="X796" si="1728">+S796+T796++U796+V796-W796</f>
        <v>0</v>
      </c>
      <c r="Y796" s="6">
        <f t="shared" ref="Y796" si="1729">+Q796-X796</f>
        <v>0</v>
      </c>
      <c r="Z796" s="2"/>
      <c r="AA796" s="2"/>
      <c r="AB796" s="2"/>
      <c r="AC796" s="3"/>
      <c r="AD796" s="2"/>
      <c r="AE796" s="2"/>
      <c r="AF796" s="2"/>
      <c r="AG796" s="2"/>
      <c r="AH796" s="2" t="s">
        <v>3355</v>
      </c>
      <c r="AI796" s="2" t="s">
        <v>3354</v>
      </c>
      <c r="AJ796" s="2"/>
      <c r="AK796" s="2"/>
      <c r="AL796" s="2"/>
      <c r="AM796" s="5" t="s">
        <v>493</v>
      </c>
      <c r="AN796" s="2"/>
      <c r="AO796" s="5" t="s">
        <v>3256</v>
      </c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</row>
    <row r="797" spans="2:58" ht="17.25" customHeight="1">
      <c r="B797" s="45" t="s">
        <v>1370</v>
      </c>
      <c r="C797" s="1">
        <v>43954</v>
      </c>
      <c r="E797" s="2" t="s">
        <v>1502</v>
      </c>
      <c r="F797" s="2"/>
      <c r="G797" s="2" t="s">
        <v>3377</v>
      </c>
      <c r="H797" s="2" t="s">
        <v>3378</v>
      </c>
      <c r="I797" s="2"/>
      <c r="J797" s="2">
        <v>1</v>
      </c>
      <c r="K797" s="2"/>
      <c r="L797" s="3">
        <v>19.600000000000001</v>
      </c>
      <c r="M797" s="3">
        <v>1.96</v>
      </c>
      <c r="N797" s="3">
        <v>1.23</v>
      </c>
      <c r="O797" s="3">
        <v>0</v>
      </c>
      <c r="P797" s="3">
        <f>1.47-1.47</f>
        <v>0</v>
      </c>
      <c r="Q797" s="6">
        <f>+L797-M797-N797+P797</f>
        <v>16.41</v>
      </c>
      <c r="R797" s="3"/>
      <c r="S797" s="3">
        <v>13.59</v>
      </c>
      <c r="T797" s="3">
        <v>1.24</v>
      </c>
      <c r="U797" s="3">
        <v>3.47</v>
      </c>
      <c r="V797" s="3"/>
      <c r="W797" s="3"/>
      <c r="X797" s="2">
        <f>+S797+T797++U797+V797-W797</f>
        <v>18.3</v>
      </c>
      <c r="Y797" s="6">
        <f>+Q797-X797</f>
        <v>-1.8900000000000006</v>
      </c>
      <c r="Z797" s="2"/>
      <c r="AA797" s="2"/>
      <c r="AB797" s="2"/>
      <c r="AC797" s="3"/>
      <c r="AD797" s="2"/>
      <c r="AE797" s="2"/>
      <c r="AF797" s="2"/>
      <c r="AG797" s="2"/>
      <c r="AH797" s="2" t="s">
        <v>3380</v>
      </c>
      <c r="AI797" s="2" t="s">
        <v>3379</v>
      </c>
      <c r="AJ797" s="2"/>
      <c r="AK797" s="2"/>
      <c r="AL797" s="2" t="s">
        <v>3705</v>
      </c>
      <c r="AM797" s="2" t="s">
        <v>3711</v>
      </c>
      <c r="AN797" s="2"/>
      <c r="AO797" s="16" t="s">
        <v>3541</v>
      </c>
      <c r="AP797" s="2" t="s">
        <v>3542</v>
      </c>
      <c r="AQ797" s="2"/>
      <c r="AR797" s="16" t="s">
        <v>3543</v>
      </c>
      <c r="AS797" s="16" t="s">
        <v>8423</v>
      </c>
      <c r="AT797" s="2" t="s">
        <v>8424</v>
      </c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</row>
    <row r="798" spans="2:58" ht="17.25" customHeight="1">
      <c r="C798" s="1">
        <v>43954</v>
      </c>
      <c r="E798" s="2" t="s">
        <v>2979</v>
      </c>
      <c r="F798" s="2"/>
      <c r="G798" s="2" t="s">
        <v>3356</v>
      </c>
      <c r="H798" s="2" t="s">
        <v>3756</v>
      </c>
      <c r="I798" s="2"/>
      <c r="J798" s="2">
        <v>0</v>
      </c>
      <c r="K798" s="2"/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6">
        <f t="shared" ref="Q798" si="1730">+L798-M798-N798+P798</f>
        <v>0</v>
      </c>
      <c r="R798" s="3"/>
      <c r="S798" s="3">
        <v>0</v>
      </c>
      <c r="T798" s="3">
        <v>0</v>
      </c>
      <c r="U798" s="3"/>
      <c r="V798" s="3">
        <v>0</v>
      </c>
      <c r="W798" s="3"/>
      <c r="X798" s="2">
        <f t="shared" ref="X798" si="1731">+S798+T798++U798+V798-W798</f>
        <v>0</v>
      </c>
      <c r="Y798" s="6">
        <f t="shared" ref="Y798" si="1732">+Q798-X798</f>
        <v>0</v>
      </c>
      <c r="Z798" s="2"/>
      <c r="AA798" s="2"/>
      <c r="AB798" s="2"/>
      <c r="AC798" s="3"/>
      <c r="AD798" s="2"/>
      <c r="AE798" s="2"/>
      <c r="AF798" s="2"/>
      <c r="AG798" s="2"/>
      <c r="AH798" s="2" t="s">
        <v>3376</v>
      </c>
      <c r="AI798" s="2" t="s">
        <v>3375</v>
      </c>
      <c r="AJ798" s="2"/>
      <c r="AK798" s="2"/>
      <c r="AL798" s="2"/>
      <c r="AM798" s="5" t="s">
        <v>493</v>
      </c>
      <c r="AN798" s="2"/>
      <c r="AO798" s="5" t="s">
        <v>3256</v>
      </c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</row>
    <row r="799" spans="2:58" ht="17.25" customHeight="1">
      <c r="C799" s="1">
        <v>43954</v>
      </c>
      <c r="E799" s="2" t="s">
        <v>3157</v>
      </c>
      <c r="F799" s="2"/>
      <c r="G799" s="2" t="s">
        <v>3352</v>
      </c>
      <c r="H799" s="2" t="s">
        <v>3933</v>
      </c>
      <c r="I799" s="2"/>
      <c r="J799" s="2">
        <v>1</v>
      </c>
      <c r="K799" s="2"/>
      <c r="L799" s="3">
        <v>75.150000000000006</v>
      </c>
      <c r="M799" s="3">
        <v>7.51</v>
      </c>
      <c r="N799" s="3">
        <v>3.61</v>
      </c>
      <c r="O799" s="3"/>
      <c r="P799" s="3"/>
      <c r="Q799" s="6">
        <f t="shared" ref="Q799" si="1733">+L799-M799-N799+P799</f>
        <v>64.03</v>
      </c>
      <c r="R799" s="3"/>
      <c r="S799" s="3">
        <v>49</v>
      </c>
      <c r="T799" s="3">
        <v>5.64</v>
      </c>
      <c r="U799" s="3"/>
      <c r="V799" s="3"/>
      <c r="W799" s="3"/>
      <c r="X799" s="2">
        <f t="shared" ref="X799" si="1734">+S799+T799++U799+V799-W799</f>
        <v>54.64</v>
      </c>
      <c r="Y799" s="6">
        <f t="shared" ref="Y799" si="1735">+Q799-X799</f>
        <v>9.39</v>
      </c>
      <c r="Z799" s="6">
        <f>SUM(Y779:Y799)</f>
        <v>144.80999999999995</v>
      </c>
      <c r="AA799" s="2"/>
      <c r="AB799" s="2"/>
      <c r="AC799" s="3"/>
      <c r="AD799" s="2"/>
      <c r="AE799" s="2"/>
      <c r="AF799" s="2"/>
      <c r="AG799" s="2"/>
      <c r="AH799" s="2" t="s">
        <v>3349</v>
      </c>
      <c r="AI799" s="2" t="s">
        <v>3348</v>
      </c>
      <c r="AJ799" s="2"/>
      <c r="AK799" s="2"/>
      <c r="AL799" s="2"/>
      <c r="AM799" s="5" t="s">
        <v>493</v>
      </c>
      <c r="AN799" s="2"/>
      <c r="AO799" s="5" t="s">
        <v>3256</v>
      </c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</row>
    <row r="800" spans="2:58" ht="17.25" customHeight="1">
      <c r="C800" s="1">
        <v>43953</v>
      </c>
      <c r="E800" s="2" t="s">
        <v>3158</v>
      </c>
      <c r="F800" s="13" t="s">
        <v>16</v>
      </c>
      <c r="G800" s="2" t="s">
        <v>3325</v>
      </c>
      <c r="H800" s="2" t="s">
        <v>3561</v>
      </c>
      <c r="I800" s="2"/>
      <c r="J800" s="2">
        <v>1</v>
      </c>
      <c r="K800" s="2" t="s">
        <v>3449</v>
      </c>
      <c r="L800" s="3">
        <v>106.95</v>
      </c>
      <c r="M800" s="3">
        <v>10.69</v>
      </c>
      <c r="N800" s="3">
        <v>5.01</v>
      </c>
      <c r="O800" s="3"/>
      <c r="P800" s="3">
        <f>8.81-8.81</f>
        <v>0</v>
      </c>
      <c r="Q800" s="6">
        <f t="shared" ref="Q800" si="1736">+L800-M800-N800+P800</f>
        <v>91.25</v>
      </c>
      <c r="R800" s="3"/>
      <c r="S800" s="3">
        <v>75.989999999999995</v>
      </c>
      <c r="T800" s="3">
        <v>8.74</v>
      </c>
      <c r="U800" s="3"/>
      <c r="V800" s="3"/>
      <c r="W800" s="3"/>
      <c r="X800" s="2">
        <f t="shared" ref="X800" si="1737">+S800+T800++U800+V800-W800</f>
        <v>84.72999999999999</v>
      </c>
      <c r="Y800" s="6">
        <f t="shared" ref="Y800" si="1738">+Q800-X800</f>
        <v>6.5200000000000102</v>
      </c>
      <c r="Z800" s="2"/>
      <c r="AA800" s="2"/>
      <c r="AB800" s="2"/>
      <c r="AC800" s="3"/>
      <c r="AD800" s="2"/>
      <c r="AE800" s="2"/>
      <c r="AF800" s="2"/>
      <c r="AG800" s="2"/>
      <c r="AH800" s="2" t="s">
        <v>3351</v>
      </c>
      <c r="AI800" s="2" t="s">
        <v>3350</v>
      </c>
      <c r="AJ800" s="2"/>
      <c r="AK800" s="2"/>
      <c r="AL800" s="2" t="s">
        <v>4554</v>
      </c>
      <c r="AM800" s="2" t="s">
        <v>4705</v>
      </c>
      <c r="AN800" s="2"/>
      <c r="AO800" s="2" t="s">
        <v>4850</v>
      </c>
      <c r="AP800" s="2" t="s">
        <v>4851</v>
      </c>
      <c r="AQ800" s="2"/>
      <c r="AR800" s="16" t="s">
        <v>3927</v>
      </c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</row>
    <row r="801" spans="2:58" ht="17.25" customHeight="1">
      <c r="C801" s="1">
        <v>43953</v>
      </c>
      <c r="E801" s="2" t="s">
        <v>2979</v>
      </c>
      <c r="F801" s="2"/>
      <c r="G801" s="2" t="s">
        <v>4431</v>
      </c>
      <c r="H801" s="2" t="s">
        <v>4314</v>
      </c>
      <c r="I801" s="2"/>
      <c r="J801" s="2">
        <v>1</v>
      </c>
      <c r="K801" s="24" t="s">
        <v>3449</v>
      </c>
      <c r="L801" s="3">
        <v>54.65</v>
      </c>
      <c r="M801" s="3">
        <v>5.46</v>
      </c>
      <c r="N801" s="3">
        <v>2.88</v>
      </c>
      <c r="O801" s="3">
        <v>0</v>
      </c>
      <c r="P801" s="3">
        <v>3.96</v>
      </c>
      <c r="Q801" s="6">
        <f t="shared" ref="Q801:Q802" si="1739">+L801-M801-N801+P801</f>
        <v>50.269999999999996</v>
      </c>
      <c r="R801" s="3"/>
      <c r="S801" s="3">
        <v>38.78</v>
      </c>
      <c r="T801" s="3">
        <v>2.81</v>
      </c>
      <c r="U801" s="3"/>
      <c r="V801" s="3">
        <v>0</v>
      </c>
      <c r="W801" s="3"/>
      <c r="X801" s="2">
        <f t="shared" ref="X801:X802" si="1740">+S801+T801++U801+V801-W801</f>
        <v>41.59</v>
      </c>
      <c r="Y801" s="6">
        <f t="shared" ref="Y801:Y802" si="1741">+Q801-X801</f>
        <v>8.6799999999999926</v>
      </c>
      <c r="Z801" s="2"/>
      <c r="AA801" s="2"/>
      <c r="AB801" s="2"/>
      <c r="AC801" s="3"/>
      <c r="AD801" s="2"/>
      <c r="AE801" s="2"/>
      <c r="AF801" s="2"/>
      <c r="AG801" s="2"/>
      <c r="AH801" s="2" t="s">
        <v>3341</v>
      </c>
      <c r="AI801" s="2" t="s">
        <v>3340</v>
      </c>
      <c r="AJ801" s="2"/>
      <c r="AK801" s="2"/>
      <c r="AL801" s="2" t="s">
        <v>3071</v>
      </c>
      <c r="AM801" s="2" t="s">
        <v>3527</v>
      </c>
      <c r="AN801" s="2"/>
      <c r="AO801" s="2" t="s">
        <v>3527</v>
      </c>
      <c r="AP801" s="2"/>
      <c r="AQ801" s="2"/>
      <c r="AR801" s="16" t="s">
        <v>3417</v>
      </c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</row>
    <row r="802" spans="2:58" ht="17.25" customHeight="1">
      <c r="C802" s="1">
        <v>43953</v>
      </c>
      <c r="E802" s="2" t="s">
        <v>3157</v>
      </c>
      <c r="F802" s="2" t="s">
        <v>3903</v>
      </c>
      <c r="G802" t="s">
        <v>3324</v>
      </c>
      <c r="H802" s="2" t="s">
        <v>3932</v>
      </c>
      <c r="I802" s="2"/>
      <c r="J802" s="2">
        <v>1</v>
      </c>
      <c r="K802" s="2"/>
      <c r="L802" s="3">
        <v>75.150000000000006</v>
      </c>
      <c r="M802" s="3">
        <v>7.51</v>
      </c>
      <c r="N802" s="3">
        <v>3.61</v>
      </c>
      <c r="O802" s="3"/>
      <c r="P802" s="3"/>
      <c r="Q802" s="6">
        <f t="shared" si="1739"/>
        <v>64.03</v>
      </c>
      <c r="R802" s="3"/>
      <c r="S802" s="3">
        <v>49</v>
      </c>
      <c r="T802" s="3">
        <v>5.64</v>
      </c>
      <c r="U802" s="3"/>
      <c r="V802" s="3"/>
      <c r="W802" s="3"/>
      <c r="X802" s="2">
        <f t="shared" si="1740"/>
        <v>54.64</v>
      </c>
      <c r="Y802" s="6">
        <f t="shared" si="1741"/>
        <v>9.39</v>
      </c>
      <c r="Z802" s="2"/>
      <c r="AA802" s="2"/>
      <c r="AB802" s="2"/>
      <c r="AC802" s="3"/>
      <c r="AD802" s="2"/>
      <c r="AE802" s="2"/>
      <c r="AF802" s="2"/>
      <c r="AG802" s="2"/>
      <c r="AH802" s="2" t="s">
        <v>3347</v>
      </c>
      <c r="AI802" s="2" t="s">
        <v>3346</v>
      </c>
      <c r="AJ802" s="2"/>
      <c r="AK802" s="2"/>
      <c r="AL802" s="2"/>
      <c r="AM802" s="5" t="s">
        <v>493</v>
      </c>
      <c r="AN802" s="2"/>
      <c r="AO802" s="5" t="s">
        <v>3256</v>
      </c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</row>
    <row r="803" spans="2:58" ht="17.25" customHeight="1">
      <c r="C803" s="1">
        <v>43953</v>
      </c>
      <c r="E803" s="2" t="s">
        <v>3290</v>
      </c>
      <c r="F803" s="2"/>
      <c r="G803" s="2" t="s">
        <v>3291</v>
      </c>
      <c r="H803" s="2" t="s">
        <v>3292</v>
      </c>
      <c r="I803" s="2"/>
      <c r="J803" s="2">
        <v>1</v>
      </c>
      <c r="K803" s="2"/>
      <c r="L803" s="3">
        <v>36.15</v>
      </c>
      <c r="M803" s="3">
        <v>3.61</v>
      </c>
      <c r="N803" s="3">
        <v>2.0299999999999998</v>
      </c>
      <c r="O803" s="3"/>
      <c r="P803" s="3">
        <v>3.25</v>
      </c>
      <c r="Q803" s="6">
        <f t="shared" ref="Q803:Q804" si="1742">+L803-M803-N803+P803</f>
        <v>33.76</v>
      </c>
      <c r="R803" s="3"/>
      <c r="S803" s="3">
        <v>23.99</v>
      </c>
      <c r="T803" s="3">
        <v>1.78</v>
      </c>
      <c r="U803" s="3">
        <v>0</v>
      </c>
      <c r="V803" s="3"/>
      <c r="W803" s="3">
        <v>2.4</v>
      </c>
      <c r="X803" s="2">
        <f t="shared" ref="X803" si="1743">+S803+T803++U803+V803-W803</f>
        <v>23.37</v>
      </c>
      <c r="Y803" s="6">
        <f t="shared" ref="Y803" si="1744">+Q803-X803</f>
        <v>10.389999999999997</v>
      </c>
      <c r="Z803" s="2"/>
      <c r="AA803" s="2"/>
      <c r="AB803" s="2"/>
      <c r="AC803" s="3"/>
      <c r="AD803" s="2"/>
      <c r="AE803" s="2"/>
      <c r="AF803" s="2"/>
      <c r="AG803" s="2"/>
      <c r="AH803" s="2" t="s">
        <v>3294</v>
      </c>
      <c r="AI803" s="2" t="s">
        <v>3293</v>
      </c>
      <c r="AJ803" s="2"/>
      <c r="AK803" s="2"/>
      <c r="AL803" s="2" t="s">
        <v>2926</v>
      </c>
      <c r="AM803" s="16" t="s">
        <v>3907</v>
      </c>
      <c r="AN803" s="2"/>
      <c r="AO803" s="2" t="s">
        <v>3295</v>
      </c>
      <c r="AP803" s="2"/>
      <c r="AQ803" s="2"/>
      <c r="AR803" s="16" t="s">
        <v>3296</v>
      </c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</row>
    <row r="804" spans="2:58" ht="17.25" customHeight="1">
      <c r="B804" t="s">
        <v>2887</v>
      </c>
      <c r="C804" s="1">
        <v>43953</v>
      </c>
      <c r="E804" s="2" t="s">
        <v>3289</v>
      </c>
      <c r="F804" s="2"/>
      <c r="G804" s="2" t="s">
        <v>3323</v>
      </c>
      <c r="H804" s="2" t="s">
        <v>4327</v>
      </c>
      <c r="I804" s="2"/>
      <c r="J804" s="2">
        <v>1</v>
      </c>
      <c r="K804" s="2"/>
      <c r="L804" s="3">
        <v>56.5</v>
      </c>
      <c r="M804" s="3">
        <v>5.65</v>
      </c>
      <c r="N804" s="3">
        <v>2.96</v>
      </c>
      <c r="O804" s="3"/>
      <c r="P804" s="3">
        <v>3.96</v>
      </c>
      <c r="Q804" s="6">
        <f t="shared" si="1742"/>
        <v>51.85</v>
      </c>
      <c r="R804" s="3"/>
      <c r="S804" s="3">
        <v>46.48</v>
      </c>
      <c r="T804" s="3">
        <v>3.25</v>
      </c>
      <c r="U804" s="3"/>
      <c r="V804" s="3"/>
      <c r="W804" s="3"/>
      <c r="X804" s="2">
        <f t="shared" ref="X804" si="1745">+S804+T804++U804+V804-W804</f>
        <v>49.73</v>
      </c>
      <c r="Y804" s="6">
        <f t="shared" ref="Y804" si="1746">+Q804-X804</f>
        <v>2.1200000000000045</v>
      </c>
      <c r="Z804" s="2"/>
      <c r="AA804" s="2"/>
      <c r="AB804" s="2"/>
      <c r="AC804" s="3"/>
      <c r="AD804" s="2"/>
      <c r="AE804" s="2"/>
      <c r="AF804" s="2"/>
      <c r="AG804" s="2"/>
      <c r="AH804" s="2" t="s">
        <v>3343</v>
      </c>
      <c r="AI804" s="2" t="s">
        <v>3342</v>
      </c>
      <c r="AJ804" s="2"/>
      <c r="AK804" s="2"/>
      <c r="AL804" s="2" t="s">
        <v>2926</v>
      </c>
      <c r="AM804" s="16" t="s">
        <v>4328</v>
      </c>
      <c r="AN804" s="2"/>
      <c r="AO804" s="2" t="s">
        <v>3923</v>
      </c>
      <c r="AP804" s="2"/>
      <c r="AQ804" s="2"/>
      <c r="AR804" s="16" t="s">
        <v>3750</v>
      </c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</row>
    <row r="805" spans="2:58" ht="17.25" customHeight="1">
      <c r="B805" t="s">
        <v>2887</v>
      </c>
      <c r="C805" s="1">
        <v>43953</v>
      </c>
      <c r="E805" s="2" t="s">
        <v>3924</v>
      </c>
      <c r="F805" s="2"/>
      <c r="G805" s="2" t="s">
        <v>3321</v>
      </c>
      <c r="H805" s="2" t="s">
        <v>3322</v>
      </c>
      <c r="I805" s="2"/>
      <c r="J805" s="2">
        <v>1</v>
      </c>
      <c r="K805" s="2"/>
      <c r="L805" s="3">
        <v>29.95</v>
      </c>
      <c r="M805" s="3">
        <v>2.99</v>
      </c>
      <c r="N805" s="3">
        <v>1.75</v>
      </c>
      <c r="O805" s="3"/>
      <c r="P805" s="3">
        <v>3</v>
      </c>
      <c r="Q805" s="6">
        <f t="shared" ref="Q805:Q807" si="1747">+L805-M805-N805+P805</f>
        <v>28.21</v>
      </c>
      <c r="R805" s="3"/>
      <c r="S805" s="3">
        <v>15.71</v>
      </c>
      <c r="T805" s="3">
        <v>1.56</v>
      </c>
      <c r="U805" s="3"/>
      <c r="V805" s="3"/>
      <c r="W805" s="3"/>
      <c r="X805" s="2">
        <f t="shared" ref="X805:X806" si="1748">+S805+T805++U805+V805-W805</f>
        <v>17.27</v>
      </c>
      <c r="Y805" s="6">
        <f t="shared" ref="Y805:Y806" si="1749">+Q805-X805</f>
        <v>10.940000000000001</v>
      </c>
      <c r="Z805" s="2"/>
      <c r="AA805" s="2"/>
      <c r="AB805" s="2"/>
      <c r="AC805" s="3"/>
      <c r="AD805" s="2"/>
      <c r="AE805" s="2"/>
      <c r="AF805" s="2"/>
      <c r="AG805" s="2"/>
      <c r="AH805" s="2" t="s">
        <v>3339</v>
      </c>
      <c r="AI805" s="2" t="s">
        <v>3338</v>
      </c>
      <c r="AJ805" s="2"/>
      <c r="AK805" s="2"/>
      <c r="AL805" s="2" t="s">
        <v>2926</v>
      </c>
      <c r="AM805" s="16" t="s">
        <v>4164</v>
      </c>
      <c r="AN805" s="2"/>
      <c r="AO805" s="2" t="s">
        <v>3991</v>
      </c>
      <c r="AP805" s="2"/>
      <c r="AQ805" s="2"/>
      <c r="AR805" s="16" t="s">
        <v>3795</v>
      </c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</row>
    <row r="806" spans="2:58" ht="17.25" customHeight="1">
      <c r="C806" s="1">
        <v>43953</v>
      </c>
      <c r="E806" s="2" t="s">
        <v>2979</v>
      </c>
      <c r="F806" s="2"/>
      <c r="G806" s="2" t="s">
        <v>3901</v>
      </c>
      <c r="H806" s="2" t="s">
        <v>3770</v>
      </c>
      <c r="I806" s="2"/>
      <c r="J806" s="2">
        <v>0</v>
      </c>
      <c r="K806" s="2"/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6">
        <f t="shared" si="1747"/>
        <v>0</v>
      </c>
      <c r="R806" s="3"/>
      <c r="S806" s="3">
        <v>0</v>
      </c>
      <c r="T806" s="3">
        <v>0</v>
      </c>
      <c r="U806" s="3"/>
      <c r="V806" s="3">
        <v>0</v>
      </c>
      <c r="W806" s="3"/>
      <c r="X806" s="2">
        <f t="shared" si="1748"/>
        <v>0</v>
      </c>
      <c r="Y806" s="6">
        <f t="shared" si="1749"/>
        <v>0</v>
      </c>
      <c r="Z806" s="2"/>
      <c r="AA806" s="2"/>
      <c r="AB806" s="2"/>
      <c r="AC806" s="3"/>
      <c r="AD806" s="2"/>
      <c r="AE806" s="2"/>
      <c r="AF806" s="2"/>
      <c r="AG806" s="2"/>
      <c r="AH806" s="2" t="s">
        <v>3345</v>
      </c>
      <c r="AI806" s="2" t="s">
        <v>3344</v>
      </c>
      <c r="AJ806" s="2"/>
      <c r="AK806" s="2"/>
      <c r="AL806" s="2"/>
      <c r="AM806" s="5" t="s">
        <v>493</v>
      </c>
      <c r="AN806" s="2"/>
      <c r="AO806" s="5" t="s">
        <v>3256</v>
      </c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</row>
    <row r="807" spans="2:58" ht="17.25" customHeight="1">
      <c r="C807" s="1">
        <v>43953</v>
      </c>
      <c r="E807" s="2" t="s">
        <v>3158</v>
      </c>
      <c r="F807" s="2" t="s">
        <v>16</v>
      </c>
      <c r="G807" s="2" t="s">
        <v>3320</v>
      </c>
      <c r="H807" s="2" t="s">
        <v>3558</v>
      </c>
      <c r="I807" s="2"/>
      <c r="J807" s="2">
        <v>1</v>
      </c>
      <c r="K807" s="2" t="s">
        <v>3449</v>
      </c>
      <c r="L807" s="3">
        <v>106.95</v>
      </c>
      <c r="M807" s="3">
        <v>10.69</v>
      </c>
      <c r="N807" s="3">
        <v>5.01</v>
      </c>
      <c r="O807" s="3"/>
      <c r="P807" s="3">
        <f>8.81-8.81</f>
        <v>0</v>
      </c>
      <c r="Q807" s="6">
        <f t="shared" si="1747"/>
        <v>91.25</v>
      </c>
      <c r="R807" s="3"/>
      <c r="S807" s="3">
        <v>75.989999999999995</v>
      </c>
      <c r="T807" s="3">
        <v>8.74</v>
      </c>
      <c r="U807" s="3"/>
      <c r="V807" s="3"/>
      <c r="W807" s="3"/>
      <c r="X807" s="2">
        <f t="shared" ref="X807" si="1750">+S807+T807++U807+V807-W807</f>
        <v>84.72999999999999</v>
      </c>
      <c r="Y807" s="6">
        <f t="shared" ref="Y807" si="1751">+Q807-X807</f>
        <v>6.5200000000000102</v>
      </c>
      <c r="Z807" s="2"/>
      <c r="AA807" s="2"/>
      <c r="AB807" s="2"/>
      <c r="AC807" s="3"/>
      <c r="AD807" s="2"/>
      <c r="AE807" s="2"/>
      <c r="AF807" s="2"/>
      <c r="AG807" s="2"/>
      <c r="AH807" s="2" t="s">
        <v>3337</v>
      </c>
      <c r="AI807" s="2" t="s">
        <v>3336</v>
      </c>
      <c r="AJ807" s="2"/>
      <c r="AK807" s="2"/>
      <c r="AL807" s="2" t="s">
        <v>4554</v>
      </c>
      <c r="AM807" s="2" t="s">
        <v>4706</v>
      </c>
      <c r="AN807" s="2"/>
      <c r="AO807" s="2" t="s">
        <v>3559</v>
      </c>
      <c r="AP807" s="2" t="s">
        <v>3556</v>
      </c>
      <c r="AQ807" s="2"/>
      <c r="AR807" s="19" t="s">
        <v>3230</v>
      </c>
      <c r="AS807" s="16" t="s">
        <v>4707</v>
      </c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</row>
    <row r="808" spans="2:58" ht="17.25" customHeight="1">
      <c r="C808" s="1">
        <v>43953</v>
      </c>
      <c r="E808" s="2" t="s">
        <v>3157</v>
      </c>
      <c r="F808" s="2"/>
      <c r="G808" s="2" t="s">
        <v>3319</v>
      </c>
      <c r="H808" s="2" t="s">
        <v>3789</v>
      </c>
      <c r="I808" s="2"/>
      <c r="J808" s="2">
        <v>0</v>
      </c>
      <c r="K808" s="2"/>
      <c r="L808" s="3">
        <v>0</v>
      </c>
      <c r="M808" s="3">
        <v>0</v>
      </c>
      <c r="N808" s="3">
        <v>0</v>
      </c>
      <c r="O808" s="3"/>
      <c r="P808" s="3"/>
      <c r="Q808" s="6">
        <f t="shared" ref="Q808" si="1752">+L808-M808-N808+P808</f>
        <v>0</v>
      </c>
      <c r="R808" s="3"/>
      <c r="S808" s="3">
        <v>0</v>
      </c>
      <c r="T808" s="3">
        <v>0</v>
      </c>
      <c r="U808" s="3"/>
      <c r="V808" s="3"/>
      <c r="W808" s="3"/>
      <c r="X808" s="2">
        <f t="shared" ref="X808" si="1753">+S808+T808++U808+V808-W808</f>
        <v>0</v>
      </c>
      <c r="Y808" s="6">
        <f t="shared" ref="Y808" si="1754">+Q808-X808</f>
        <v>0</v>
      </c>
      <c r="Z808" s="2"/>
      <c r="AA808" s="2"/>
      <c r="AB808" s="2"/>
      <c r="AC808" s="3"/>
      <c r="AD808" s="2"/>
      <c r="AE808" s="2"/>
      <c r="AF808" s="2"/>
      <c r="AG808" s="2"/>
      <c r="AH808" s="2" t="s">
        <v>3335</v>
      </c>
      <c r="AI808" s="2" t="s">
        <v>3334</v>
      </c>
      <c r="AJ808" s="2"/>
      <c r="AK808" s="2"/>
      <c r="AL808" s="2"/>
      <c r="AM808" s="5" t="s">
        <v>493</v>
      </c>
      <c r="AN808" s="2"/>
      <c r="AO808" s="2" t="s">
        <v>3418</v>
      </c>
      <c r="AP808" s="2" t="s">
        <v>3416</v>
      </c>
      <c r="AQ808" s="2"/>
      <c r="AR808" s="16" t="s">
        <v>3419</v>
      </c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</row>
    <row r="809" spans="2:58" ht="17.25" customHeight="1">
      <c r="B809" t="s">
        <v>2887</v>
      </c>
      <c r="C809" s="1">
        <v>43953</v>
      </c>
      <c r="E809" s="2" t="s">
        <v>3288</v>
      </c>
      <c r="F809" s="2"/>
      <c r="G809" s="2" t="s">
        <v>3317</v>
      </c>
      <c r="H809" s="2" t="s">
        <v>3318</v>
      </c>
      <c r="I809" s="2"/>
      <c r="J809" s="2">
        <v>1</v>
      </c>
      <c r="K809" s="2"/>
      <c r="L809" s="3">
        <v>29.95</v>
      </c>
      <c r="M809" s="3">
        <v>2.99</v>
      </c>
      <c r="N809" s="3">
        <v>1.62</v>
      </c>
      <c r="O809" s="3"/>
      <c r="P809" s="3"/>
      <c r="Q809" s="6">
        <f t="shared" ref="Q809:Q810" si="1755">+L809-M809-N809+P809</f>
        <v>25.34</v>
      </c>
      <c r="R809" s="3"/>
      <c r="S809" s="3">
        <v>17.989999999999998</v>
      </c>
      <c r="T809" s="3"/>
      <c r="U809" s="3"/>
      <c r="V809" s="3"/>
      <c r="W809" s="3"/>
      <c r="X809" s="2">
        <f t="shared" ref="X809:X810" si="1756">+S809+T809++U809+V809-W809</f>
        <v>17.989999999999998</v>
      </c>
      <c r="Y809" s="6">
        <f t="shared" ref="Y809:Y810" si="1757">+Q809-X809</f>
        <v>7.3500000000000014</v>
      </c>
      <c r="Z809" s="2"/>
      <c r="AA809" s="2"/>
      <c r="AB809" s="2"/>
      <c r="AC809" s="3"/>
      <c r="AD809" s="2"/>
      <c r="AE809" s="2"/>
      <c r="AF809" s="2"/>
      <c r="AG809" s="2"/>
      <c r="AH809" s="2" t="s">
        <v>3329</v>
      </c>
      <c r="AI809" s="2" t="s">
        <v>3328</v>
      </c>
      <c r="AJ809" s="2"/>
      <c r="AK809" s="2"/>
      <c r="AL809" s="2" t="s">
        <v>2926</v>
      </c>
      <c r="AM809" s="16" t="s">
        <v>3975</v>
      </c>
      <c r="AN809" s="2"/>
      <c r="AO809" s="2" t="s">
        <v>3918</v>
      </c>
      <c r="AP809" s="2"/>
      <c r="AQ809" s="2"/>
      <c r="AR809" s="16" t="s">
        <v>3919</v>
      </c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</row>
    <row r="810" spans="2:58" ht="17.25" customHeight="1">
      <c r="C810" s="1">
        <v>43953</v>
      </c>
      <c r="E810" s="2" t="s">
        <v>3158</v>
      </c>
      <c r="F810" s="2" t="s">
        <v>16</v>
      </c>
      <c r="G810" s="2" t="s">
        <v>3316</v>
      </c>
      <c r="H810" s="2" t="s">
        <v>3451</v>
      </c>
      <c r="I810" s="2"/>
      <c r="J810" s="2">
        <v>1</v>
      </c>
      <c r="K810" s="25" t="s">
        <v>3449</v>
      </c>
      <c r="L810" s="3">
        <v>106.95</v>
      </c>
      <c r="M810" s="3">
        <v>10.69</v>
      </c>
      <c r="N810" s="3">
        <v>5.01</v>
      </c>
      <c r="O810" s="3"/>
      <c r="P810" s="3">
        <f>8.81-8.81</f>
        <v>0</v>
      </c>
      <c r="Q810" s="6">
        <f t="shared" si="1755"/>
        <v>91.25</v>
      </c>
      <c r="R810" s="3"/>
      <c r="S810" s="3">
        <v>75.989999999999995</v>
      </c>
      <c r="T810" s="3">
        <v>8.74</v>
      </c>
      <c r="U810" s="3"/>
      <c r="V810" s="3"/>
      <c r="W810" s="3"/>
      <c r="X810" s="2">
        <f t="shared" si="1756"/>
        <v>84.72999999999999</v>
      </c>
      <c r="Y810" s="6">
        <f t="shared" si="1757"/>
        <v>6.5200000000000102</v>
      </c>
      <c r="Z810" s="2"/>
      <c r="AA810" s="2"/>
      <c r="AB810" s="2"/>
      <c r="AC810" s="3"/>
      <c r="AD810" s="2"/>
      <c r="AE810" s="2"/>
      <c r="AF810" s="2"/>
      <c r="AG810" s="2"/>
      <c r="AH810" s="2" t="s">
        <v>3331</v>
      </c>
      <c r="AI810" s="2" t="s">
        <v>3330</v>
      </c>
      <c r="AJ810" s="2"/>
      <c r="AK810" s="2"/>
      <c r="AL810" s="2" t="s">
        <v>4554</v>
      </c>
      <c r="AM810" s="2" t="s">
        <v>4569</v>
      </c>
      <c r="AN810" s="2"/>
      <c r="AO810" s="2" t="s">
        <v>3552</v>
      </c>
      <c r="AP810" s="2"/>
      <c r="AQ810" s="2"/>
      <c r="AR810" s="19" t="s">
        <v>3230</v>
      </c>
      <c r="AS810" s="16" t="s">
        <v>4517</v>
      </c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</row>
    <row r="811" spans="2:58" ht="17.25" customHeight="1">
      <c r="C811" s="1">
        <v>43953</v>
      </c>
      <c r="E811" s="2" t="s">
        <v>2979</v>
      </c>
      <c r="F811" s="2"/>
      <c r="G811" s="2" t="s">
        <v>3315</v>
      </c>
      <c r="H811" s="2" t="s">
        <v>3768</v>
      </c>
      <c r="I811" s="2"/>
      <c r="J811" s="2">
        <v>0</v>
      </c>
      <c r="K811" s="2"/>
      <c r="L811" s="3">
        <v>0</v>
      </c>
      <c r="M811" s="3">
        <v>0</v>
      </c>
      <c r="N811" s="3">
        <v>0</v>
      </c>
      <c r="O811" s="3">
        <v>0</v>
      </c>
      <c r="P811" s="3">
        <f>2.46-2.46</f>
        <v>0</v>
      </c>
      <c r="Q811" s="6">
        <f t="shared" ref="Q811" si="1758">+L811-M811-N811+P811</f>
        <v>0</v>
      </c>
      <c r="R811" s="3"/>
      <c r="S811" s="3">
        <v>0</v>
      </c>
      <c r="T811" s="3">
        <v>0</v>
      </c>
      <c r="U811" s="3"/>
      <c r="V811" s="3">
        <v>0</v>
      </c>
      <c r="W811" s="3"/>
      <c r="X811" s="2">
        <f t="shared" ref="X811" si="1759">+S811+T811++U811+V811-W811</f>
        <v>0</v>
      </c>
      <c r="Y811" s="6">
        <f t="shared" ref="Y811" si="1760">+Q811-X811</f>
        <v>0</v>
      </c>
      <c r="Z811" s="2"/>
      <c r="AA811" s="2"/>
      <c r="AB811" s="2"/>
      <c r="AC811" s="3"/>
      <c r="AD811" s="2"/>
      <c r="AE811" s="2"/>
      <c r="AF811" s="2"/>
      <c r="AG811" s="2"/>
      <c r="AH811" s="2" t="s">
        <v>3333</v>
      </c>
      <c r="AI811" s="2" t="s">
        <v>3332</v>
      </c>
      <c r="AJ811" s="2"/>
      <c r="AK811" s="2"/>
      <c r="AL811" s="2"/>
      <c r="AM811" s="2"/>
      <c r="AN811" s="2"/>
      <c r="AO811" s="5" t="s">
        <v>3905</v>
      </c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</row>
    <row r="812" spans="2:58" ht="17.25" customHeight="1">
      <c r="C812" s="1">
        <v>43953</v>
      </c>
      <c r="E812" s="2" t="s">
        <v>2979</v>
      </c>
      <c r="F812" s="2"/>
      <c r="G812" t="s">
        <v>3314</v>
      </c>
      <c r="H812" s="2" t="s">
        <v>3769</v>
      </c>
      <c r="I812" s="2"/>
      <c r="J812" s="2">
        <v>0</v>
      </c>
      <c r="K812" s="2"/>
      <c r="L812" s="3">
        <v>0</v>
      </c>
      <c r="M812" s="3">
        <v>0</v>
      </c>
      <c r="N812" s="3">
        <v>0</v>
      </c>
      <c r="O812" s="3">
        <v>0</v>
      </c>
      <c r="P812" s="3">
        <f>2.46-2.46</f>
        <v>0</v>
      </c>
      <c r="Q812" s="6">
        <f t="shared" ref="Q812" si="1761">+L812-M812-N812+P812</f>
        <v>0</v>
      </c>
      <c r="R812" s="3"/>
      <c r="S812" s="3">
        <v>0</v>
      </c>
      <c r="T812" s="3">
        <v>0</v>
      </c>
      <c r="U812" s="3"/>
      <c r="V812" s="3">
        <v>0</v>
      </c>
      <c r="W812" s="3"/>
      <c r="X812" s="2">
        <f t="shared" ref="X812" si="1762">+S812+T812++U812+V812-W812</f>
        <v>0</v>
      </c>
      <c r="Y812" s="6">
        <f t="shared" ref="Y812" si="1763">+Q812-X812</f>
        <v>0</v>
      </c>
      <c r="Z812" s="2"/>
      <c r="AA812" s="2"/>
      <c r="AB812" s="2"/>
      <c r="AC812" s="3"/>
      <c r="AD812" s="2"/>
      <c r="AE812" s="2"/>
      <c r="AF812" s="2"/>
      <c r="AG812" s="2"/>
      <c r="AH812" s="2" t="s">
        <v>3327</v>
      </c>
      <c r="AI812" s="2" t="s">
        <v>3326</v>
      </c>
      <c r="AJ812" s="2"/>
      <c r="AK812" s="2"/>
      <c r="AL812" s="2"/>
      <c r="AM812" s="2"/>
      <c r="AN812" s="2"/>
      <c r="AO812" s="5" t="s">
        <v>3905</v>
      </c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</row>
    <row r="813" spans="2:58" ht="17.25" customHeight="1">
      <c r="C813" s="1">
        <v>43953</v>
      </c>
      <c r="E813" s="2" t="s">
        <v>3157</v>
      </c>
      <c r="F813" s="2"/>
      <c r="G813" s="2" t="s">
        <v>3285</v>
      </c>
      <c r="H813" s="2" t="s">
        <v>3902</v>
      </c>
      <c r="I813" s="2"/>
      <c r="J813" s="2">
        <v>0</v>
      </c>
      <c r="K813" s="2"/>
      <c r="L813" s="3">
        <v>0</v>
      </c>
      <c r="M813" s="3">
        <v>0</v>
      </c>
      <c r="N813" s="3">
        <v>0</v>
      </c>
      <c r="O813" s="3"/>
      <c r="P813" s="3"/>
      <c r="Q813" s="6">
        <f t="shared" ref="Q813" si="1764">+L813-M813-N813+P813</f>
        <v>0</v>
      </c>
      <c r="R813" s="3"/>
      <c r="S813" s="3">
        <v>0</v>
      </c>
      <c r="T813" s="3">
        <v>0</v>
      </c>
      <c r="U813" s="3"/>
      <c r="V813" s="3"/>
      <c r="W813" s="3"/>
      <c r="X813" s="2">
        <f t="shared" ref="X813" si="1765">+S813+T813++U813+V813-W813</f>
        <v>0</v>
      </c>
      <c r="Y813" s="6">
        <f t="shared" ref="Y813" si="1766">+Q813-X813</f>
        <v>0</v>
      </c>
      <c r="Z813" s="2"/>
      <c r="AA813" s="2"/>
      <c r="AB813" s="2"/>
      <c r="AC813" s="3"/>
      <c r="AD813" s="2"/>
      <c r="AE813" s="2"/>
      <c r="AF813" s="2"/>
      <c r="AG813" s="2"/>
      <c r="AH813" s="2" t="s">
        <v>3287</v>
      </c>
      <c r="AI813" s="2" t="s">
        <v>3286</v>
      </c>
      <c r="AJ813" s="2"/>
      <c r="AK813" s="2"/>
      <c r="AL813" s="2"/>
      <c r="AM813" s="2"/>
      <c r="AN813" s="2"/>
      <c r="AO813" s="5" t="s">
        <v>3905</v>
      </c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</row>
    <row r="814" spans="2:58" ht="17.25" customHeight="1">
      <c r="C814" s="1">
        <v>43953</v>
      </c>
      <c r="E814" s="2" t="s">
        <v>2979</v>
      </c>
      <c r="F814" s="2"/>
      <c r="G814" s="2" t="s">
        <v>3282</v>
      </c>
      <c r="H814" s="2" t="s">
        <v>3514</v>
      </c>
      <c r="I814" s="2"/>
      <c r="J814" s="2">
        <v>1</v>
      </c>
      <c r="K814" s="2"/>
      <c r="L814" s="3">
        <v>54.65</v>
      </c>
      <c r="M814" s="3">
        <v>5.46</v>
      </c>
      <c r="N814" s="3">
        <v>2.81</v>
      </c>
      <c r="O814" s="3">
        <v>0</v>
      </c>
      <c r="P814" s="3">
        <f>2.46-2.46</f>
        <v>0</v>
      </c>
      <c r="Q814" s="6">
        <f t="shared" ref="Q814" si="1767">+L814-M814-N814+P814</f>
        <v>46.379999999999995</v>
      </c>
      <c r="R814" s="3"/>
      <c r="S814" s="3">
        <v>36.99</v>
      </c>
      <c r="T814" s="3">
        <v>1.66</v>
      </c>
      <c r="U814" s="3"/>
      <c r="V814" s="3">
        <v>0</v>
      </c>
      <c r="W814" s="3"/>
      <c r="X814" s="2">
        <f t="shared" ref="X814" si="1768">+S814+T814++U814+V814-W814</f>
        <v>38.65</v>
      </c>
      <c r="Y814" s="6">
        <f t="shared" ref="Y814" si="1769">+Q814-X814</f>
        <v>7.7299999999999969</v>
      </c>
      <c r="Z814" s="2"/>
      <c r="AA814" s="2"/>
      <c r="AB814" s="2"/>
      <c r="AC814" s="3"/>
      <c r="AD814" s="2"/>
      <c r="AE814" s="2"/>
      <c r="AF814" s="2"/>
      <c r="AG814" s="2"/>
      <c r="AH814" s="2" t="s">
        <v>3284</v>
      </c>
      <c r="AI814" s="2" t="s">
        <v>3283</v>
      </c>
      <c r="AJ814" s="2"/>
      <c r="AK814" s="2"/>
      <c r="AL814" s="2" t="s">
        <v>4554</v>
      </c>
      <c r="AM814" s="16" t="s">
        <v>3745</v>
      </c>
      <c r="AN814" s="2"/>
      <c r="AO814" s="2" t="s">
        <v>3515</v>
      </c>
      <c r="AP814" s="2"/>
      <c r="AQ814" s="2"/>
      <c r="AR814" s="16" t="s">
        <v>3516</v>
      </c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</row>
    <row r="815" spans="2:58" ht="17.25" customHeight="1">
      <c r="C815" s="1">
        <v>43953</v>
      </c>
      <c r="E815" s="2" t="s">
        <v>3157</v>
      </c>
      <c r="F815" s="2" t="s">
        <v>16</v>
      </c>
      <c r="G815" s="2" t="s">
        <v>3279</v>
      </c>
      <c r="H815" s="2" t="s">
        <v>3432</v>
      </c>
      <c r="I815" s="2"/>
      <c r="J815" s="2">
        <v>1</v>
      </c>
      <c r="K815" s="2"/>
      <c r="L815" s="3">
        <v>75.150000000000006</v>
      </c>
      <c r="M815" s="3">
        <v>7.51</v>
      </c>
      <c r="N815" s="3">
        <v>3.61</v>
      </c>
      <c r="O815" s="3"/>
      <c r="P815" s="3"/>
      <c r="Q815" s="6">
        <f t="shared" ref="Q815" si="1770">+L815-M815-N815+P815</f>
        <v>64.03</v>
      </c>
      <c r="R815" s="3"/>
      <c r="S815" s="3">
        <v>49</v>
      </c>
      <c r="T815" s="3">
        <v>5.63</v>
      </c>
      <c r="U815" s="3"/>
      <c r="V815" s="3"/>
      <c r="W815" s="3"/>
      <c r="X815" s="2">
        <f t="shared" ref="X815" si="1771">+S815+T815++U815+V815-W815</f>
        <v>54.63</v>
      </c>
      <c r="Y815" s="6">
        <f t="shared" ref="Y815" si="1772">+Q815-X815</f>
        <v>9.3999999999999986</v>
      </c>
      <c r="Z815" s="2"/>
      <c r="AA815" s="2"/>
      <c r="AB815" s="2"/>
      <c r="AC815" s="3"/>
      <c r="AD815" s="2"/>
      <c r="AE815" s="2"/>
      <c r="AF815" s="2"/>
      <c r="AG815" s="2"/>
      <c r="AH815" s="2" t="s">
        <v>3281</v>
      </c>
      <c r="AI815" s="2" t="s">
        <v>3280</v>
      </c>
      <c r="AJ815" s="2"/>
      <c r="AK815" s="2"/>
      <c r="AL815" s="2" t="s">
        <v>4554</v>
      </c>
      <c r="AM815" s="2" t="s">
        <v>4689</v>
      </c>
      <c r="AN815" s="2"/>
      <c r="AO815" s="2" t="s">
        <v>3930</v>
      </c>
      <c r="AP815" s="2" t="s">
        <v>3931</v>
      </c>
      <c r="AQ815" s="2"/>
      <c r="AR815" s="16" t="s">
        <v>3684</v>
      </c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</row>
    <row r="816" spans="2:58" ht="17.25" customHeight="1">
      <c r="C816" s="1">
        <v>43953</v>
      </c>
      <c r="E816" s="2" t="s">
        <v>3157</v>
      </c>
      <c r="F816" s="2" t="s">
        <v>3908</v>
      </c>
      <c r="G816" s="2" t="s">
        <v>3826</v>
      </c>
      <c r="H816" s="2" t="s">
        <v>3906</v>
      </c>
      <c r="I816" s="2"/>
      <c r="J816" s="2">
        <v>1</v>
      </c>
      <c r="K816" s="2"/>
      <c r="L816" s="3">
        <v>75.150000000000006</v>
      </c>
      <c r="M816" s="3">
        <v>7.51</v>
      </c>
      <c r="N816" s="3">
        <v>3.61</v>
      </c>
      <c r="O816" s="3"/>
      <c r="P816" s="3"/>
      <c r="Q816" s="6">
        <f t="shared" ref="Q816" si="1773">+L816-M816-N816+P816</f>
        <v>64.03</v>
      </c>
      <c r="R816" s="3"/>
      <c r="S816" s="3">
        <v>49</v>
      </c>
      <c r="T816" s="3">
        <v>5.64</v>
      </c>
      <c r="U816" s="3"/>
      <c r="V816" s="3"/>
      <c r="W816" s="3"/>
      <c r="X816" s="2">
        <f t="shared" ref="X816" si="1774">+S816+T816++U816+V816-W816</f>
        <v>54.64</v>
      </c>
      <c r="Y816" s="6">
        <f t="shared" ref="Y816" si="1775">+Q816-X816</f>
        <v>9.39</v>
      </c>
      <c r="Z816" s="2"/>
      <c r="AA816" s="2"/>
      <c r="AB816" s="2"/>
      <c r="AC816" s="3"/>
      <c r="AD816" s="2"/>
      <c r="AE816" s="2"/>
      <c r="AF816" s="2"/>
      <c r="AG816" s="2"/>
      <c r="AH816" s="2" t="s">
        <v>3275</v>
      </c>
      <c r="AI816" s="2" t="s">
        <v>3274</v>
      </c>
      <c r="AJ816" s="2"/>
      <c r="AK816" s="2"/>
      <c r="AL816" s="2" t="s">
        <v>745</v>
      </c>
      <c r="AM816" s="29" t="s">
        <v>4510</v>
      </c>
      <c r="AN816" s="2"/>
      <c r="AO816" s="2" t="s">
        <v>3422</v>
      </c>
      <c r="AP816" s="2" t="s">
        <v>3416</v>
      </c>
      <c r="AQ816" s="2"/>
      <c r="AR816" s="16" t="s">
        <v>3419</v>
      </c>
      <c r="AS816" s="16" t="s">
        <v>4511</v>
      </c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</row>
    <row r="817" spans="3:58" ht="17.25" customHeight="1">
      <c r="C817" s="1">
        <v>43953</v>
      </c>
      <c r="E817" s="2" t="s">
        <v>2979</v>
      </c>
      <c r="F817" s="2"/>
      <c r="G817" s="2" t="s">
        <v>3270</v>
      </c>
      <c r="H817" s="2" t="s">
        <v>3271</v>
      </c>
      <c r="I817" s="2"/>
      <c r="J817" s="2">
        <v>1</v>
      </c>
      <c r="K817" s="2"/>
      <c r="L817" s="3">
        <v>54.65</v>
      </c>
      <c r="M817" s="3">
        <v>5.46</v>
      </c>
      <c r="N817" s="3">
        <v>2.91</v>
      </c>
      <c r="O817" s="3">
        <v>0</v>
      </c>
      <c r="P817" s="3">
        <f>4.71-4.71</f>
        <v>0</v>
      </c>
      <c r="Q817" s="6">
        <f t="shared" ref="Q817" si="1776">+L817-M817-N817+P817</f>
        <v>46.28</v>
      </c>
      <c r="R817" s="3"/>
      <c r="S817" s="3">
        <v>37.46</v>
      </c>
      <c r="T817" s="3">
        <v>3.23</v>
      </c>
      <c r="U817" s="3"/>
      <c r="V817" s="3">
        <v>0</v>
      </c>
      <c r="W817" s="3"/>
      <c r="X817" s="2">
        <f t="shared" ref="X817" si="1777">+S817+T817++U817+V817-W817</f>
        <v>40.69</v>
      </c>
      <c r="Y817" s="6">
        <f t="shared" ref="Y817" si="1778">+Q817-X817</f>
        <v>5.5900000000000034</v>
      </c>
      <c r="Z817" s="6">
        <f>SUM(Y800:Y817)</f>
        <v>100.54000000000003</v>
      </c>
      <c r="AA817" s="2"/>
      <c r="AB817" s="2"/>
      <c r="AC817" s="3"/>
      <c r="AD817" s="2"/>
      <c r="AE817" s="2"/>
      <c r="AF817" s="2"/>
      <c r="AG817" s="2"/>
      <c r="AH817" s="2" t="s">
        <v>3273</v>
      </c>
      <c r="AI817" s="2" t="s">
        <v>3272</v>
      </c>
      <c r="AJ817" s="2"/>
      <c r="AK817" s="2"/>
      <c r="AL817" s="2" t="s">
        <v>3071</v>
      </c>
      <c r="AM817" s="16" t="s">
        <v>3803</v>
      </c>
      <c r="AN817" s="2"/>
      <c r="AO817" s="2" t="s">
        <v>3702</v>
      </c>
      <c r="AP817" s="2" t="s">
        <v>3519</v>
      </c>
      <c r="AQ817" s="2"/>
      <c r="AR817" s="16" t="s">
        <v>3699</v>
      </c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</row>
    <row r="818" spans="3:58" ht="17.25" customHeight="1">
      <c r="C818" s="1">
        <v>43952</v>
      </c>
      <c r="E818" s="2" t="s">
        <v>3179</v>
      </c>
      <c r="F818" s="2"/>
      <c r="G818" s="2" t="s">
        <v>3213</v>
      </c>
      <c r="H818" s="2" t="s">
        <v>3214</v>
      </c>
      <c r="I818" s="2"/>
      <c r="J818" s="2">
        <v>1</v>
      </c>
      <c r="K818" s="2"/>
      <c r="L818" s="3">
        <v>18.45</v>
      </c>
      <c r="M818" s="3">
        <v>1.84</v>
      </c>
      <c r="N818" s="3">
        <v>1.2</v>
      </c>
      <c r="O818" s="3">
        <v>0</v>
      </c>
      <c r="P818" s="3">
        <f>1.91-1.91</f>
        <v>0</v>
      </c>
      <c r="Q818" s="6">
        <f t="shared" ref="Q818" si="1779">+L818-M818-N818+P818</f>
        <v>15.41</v>
      </c>
      <c r="R818" s="3"/>
      <c r="S818" s="3">
        <v>12.3</v>
      </c>
      <c r="T818" s="3">
        <v>1.27</v>
      </c>
      <c r="U818" s="3"/>
      <c r="V818" s="3"/>
      <c r="W818" s="3">
        <v>1.23</v>
      </c>
      <c r="X818" s="2">
        <f t="shared" ref="X818:X823" si="1780">+S818+T818++U818+V818-W818</f>
        <v>12.34</v>
      </c>
      <c r="Y818" s="6">
        <f t="shared" ref="Y818" si="1781">+Q818-X818</f>
        <v>3.0700000000000003</v>
      </c>
      <c r="Z818" s="2"/>
      <c r="AA818" s="2"/>
      <c r="AB818" s="2"/>
      <c r="AC818" s="3"/>
      <c r="AD818" s="2"/>
      <c r="AE818" s="2"/>
      <c r="AF818" s="2"/>
      <c r="AG818" s="2"/>
      <c r="AH818" s="2" t="s">
        <v>3216</v>
      </c>
      <c r="AI818" s="2" t="s">
        <v>3215</v>
      </c>
      <c r="AJ818" s="2"/>
      <c r="AK818" s="2"/>
      <c r="AL818" s="2" t="s">
        <v>2922</v>
      </c>
      <c r="AM818" s="16" t="s">
        <v>3740</v>
      </c>
      <c r="AN818" s="2"/>
      <c r="AO818" s="2" t="s">
        <v>3254</v>
      </c>
      <c r="AP818" s="2" t="s">
        <v>3252</v>
      </c>
      <c r="AQ818" s="2"/>
      <c r="AR818" s="16" t="s">
        <v>3219</v>
      </c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</row>
    <row r="819" spans="3:58" ht="17.25" customHeight="1">
      <c r="C819" s="1">
        <v>43952</v>
      </c>
      <c r="E819" s="2" t="s">
        <v>34</v>
      </c>
      <c r="F819" s="2"/>
      <c r="G819" s="2" t="s">
        <v>4811</v>
      </c>
      <c r="H819" s="2" t="s">
        <v>4812</v>
      </c>
      <c r="I819" s="2"/>
      <c r="J819" s="2">
        <v>1</v>
      </c>
      <c r="K819" s="2"/>
      <c r="L819" s="3">
        <v>30.5</v>
      </c>
      <c r="M819" s="3">
        <v>3.05</v>
      </c>
      <c r="N819" s="3">
        <v>1.64</v>
      </c>
      <c r="O819" s="3"/>
      <c r="P819" s="3"/>
      <c r="Q819" s="6">
        <f t="shared" ref="Q819:Q823" si="1782">+L819-M819-N819+P819</f>
        <v>25.81</v>
      </c>
      <c r="R819" s="3"/>
      <c r="S819" s="3">
        <v>18.489999999999998</v>
      </c>
      <c r="T819" s="3">
        <v>2.13</v>
      </c>
      <c r="U819" s="3"/>
      <c r="V819" s="3"/>
      <c r="W819" s="3"/>
      <c r="X819" s="2">
        <f t="shared" si="1780"/>
        <v>20.619999999999997</v>
      </c>
      <c r="Y819" s="6">
        <f t="shared" ref="Y819:Y823" si="1783">+Q819-X819</f>
        <v>5.1900000000000013</v>
      </c>
      <c r="Z819" s="2"/>
      <c r="AA819" s="2"/>
      <c r="AB819" s="2"/>
      <c r="AC819" s="3"/>
      <c r="AD819" s="2"/>
      <c r="AE819" s="2"/>
      <c r="AF819" s="2"/>
      <c r="AG819" s="2"/>
      <c r="AH819" s="2" t="s">
        <v>3196</v>
      </c>
      <c r="AI819" s="2" t="s">
        <v>3195</v>
      </c>
      <c r="AJ819" s="2"/>
      <c r="AK819" s="2"/>
      <c r="AL819" s="2" t="s">
        <v>4554</v>
      </c>
      <c r="AM819" s="2" t="s">
        <v>4690</v>
      </c>
      <c r="AN819" s="2"/>
      <c r="AO819" s="2" t="s">
        <v>3683</v>
      </c>
      <c r="AP819" s="2" t="s">
        <v>3685</v>
      </c>
      <c r="AQ819" s="2"/>
      <c r="AR819" s="16" t="s">
        <v>3684</v>
      </c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</row>
    <row r="820" spans="3:58" ht="17.25" customHeight="1">
      <c r="C820" s="1">
        <v>43952</v>
      </c>
      <c r="E820" s="2" t="s">
        <v>2979</v>
      </c>
      <c r="F820" s="2"/>
      <c r="G820" s="2" t="s">
        <v>3197</v>
      </c>
      <c r="H820" s="2" t="s">
        <v>3198</v>
      </c>
      <c r="I820" s="2"/>
      <c r="J820" s="2">
        <v>1</v>
      </c>
      <c r="K820" s="2"/>
      <c r="L820" s="3">
        <v>54.25</v>
      </c>
      <c r="M820" s="3">
        <v>5.42</v>
      </c>
      <c r="N820" s="3">
        <v>2.88</v>
      </c>
      <c r="O820" s="3">
        <v>0</v>
      </c>
      <c r="P820" s="3">
        <f>4.88-4.88</f>
        <v>0</v>
      </c>
      <c r="Q820" s="6">
        <f t="shared" si="1782"/>
        <v>45.949999999999996</v>
      </c>
      <c r="R820" s="3"/>
      <c r="S820" s="3">
        <v>36.99</v>
      </c>
      <c r="T820" s="3">
        <v>3.05</v>
      </c>
      <c r="U820" s="3"/>
      <c r="V820" s="3">
        <v>0</v>
      </c>
      <c r="W820" s="3"/>
      <c r="X820" s="2">
        <f t="shared" si="1780"/>
        <v>40.04</v>
      </c>
      <c r="Y820" s="6">
        <f t="shared" si="1783"/>
        <v>5.9099999999999966</v>
      </c>
      <c r="Z820" s="2"/>
      <c r="AA820" s="2"/>
      <c r="AB820" s="2"/>
      <c r="AC820" s="3"/>
      <c r="AD820" s="2"/>
      <c r="AE820" s="2"/>
      <c r="AF820" s="2"/>
      <c r="AG820" s="2"/>
      <c r="AH820" s="2" t="s">
        <v>3200</v>
      </c>
      <c r="AI820" s="2" t="s">
        <v>3199</v>
      </c>
      <c r="AJ820" s="2"/>
      <c r="AK820" s="2"/>
      <c r="AL820" s="2" t="s">
        <v>3071</v>
      </c>
      <c r="AM820" s="16" t="s">
        <v>3798</v>
      </c>
      <c r="AN820" s="2"/>
      <c r="AO820" s="2" t="s">
        <v>3701</v>
      </c>
      <c r="AP820" s="2" t="s">
        <v>3519</v>
      </c>
      <c r="AQ820" s="2"/>
      <c r="AR820" s="16" t="s">
        <v>3699</v>
      </c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</row>
    <row r="821" spans="3:58" ht="17.25" customHeight="1">
      <c r="C821" s="1">
        <v>43952</v>
      </c>
      <c r="E821" s="2" t="s">
        <v>2979</v>
      </c>
      <c r="F821" s="2"/>
      <c r="G821" s="2" t="s">
        <v>3201</v>
      </c>
      <c r="H821" s="2" t="s">
        <v>3202</v>
      </c>
      <c r="I821" s="2"/>
      <c r="J821" s="2">
        <v>1</v>
      </c>
      <c r="K821" s="2"/>
      <c r="L821" s="3">
        <v>54.25</v>
      </c>
      <c r="M821" s="3">
        <v>5.42</v>
      </c>
      <c r="N821" s="3">
        <v>2.86</v>
      </c>
      <c r="O821" s="3">
        <v>0</v>
      </c>
      <c r="P821" s="3">
        <f>3.85-3.85</f>
        <v>0</v>
      </c>
      <c r="Q821" s="6">
        <f t="shared" si="1782"/>
        <v>45.97</v>
      </c>
      <c r="R821" s="3"/>
      <c r="S821" s="3">
        <v>37.479999999999997</v>
      </c>
      <c r="T821" s="3">
        <v>3.67</v>
      </c>
      <c r="U821" s="3"/>
      <c r="V821" s="3">
        <v>0</v>
      </c>
      <c r="W821" s="3"/>
      <c r="X821" s="2">
        <f t="shared" si="1780"/>
        <v>41.15</v>
      </c>
      <c r="Y821" s="6">
        <f t="shared" si="1783"/>
        <v>4.82</v>
      </c>
      <c r="Z821" s="2"/>
      <c r="AA821" s="2"/>
      <c r="AB821" s="2"/>
      <c r="AC821" s="3"/>
      <c r="AD821" s="2"/>
      <c r="AE821" s="2"/>
      <c r="AF821" s="2"/>
      <c r="AG821" s="2"/>
      <c r="AH821" s="2" t="s">
        <v>3204</v>
      </c>
      <c r="AI821" s="2" t="s">
        <v>3203</v>
      </c>
      <c r="AJ821" s="2"/>
      <c r="AK821" s="2"/>
      <c r="AL821" s="2" t="s">
        <v>3086</v>
      </c>
      <c r="AM821" s="16" t="s">
        <v>3802</v>
      </c>
      <c r="AN821" s="2"/>
      <c r="AO821" s="2" t="s">
        <v>3700</v>
      </c>
      <c r="AP821" s="2" t="s">
        <v>3519</v>
      </c>
      <c r="AQ821" s="2"/>
      <c r="AR821" s="16" t="s">
        <v>3699</v>
      </c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</row>
    <row r="822" spans="3:58" ht="17.25" customHeight="1">
      <c r="C822" s="1">
        <v>43952</v>
      </c>
      <c r="E822" s="2" t="s">
        <v>3158</v>
      </c>
      <c r="F822" s="2"/>
      <c r="G822" s="2" t="s">
        <v>3205</v>
      </c>
      <c r="H822" s="2" t="s">
        <v>3206</v>
      </c>
      <c r="I822" s="2"/>
      <c r="J822" s="2">
        <v>1</v>
      </c>
      <c r="K822" s="2"/>
      <c r="L822" s="3">
        <v>106.75</v>
      </c>
      <c r="M822" s="3">
        <v>10.67</v>
      </c>
      <c r="N822" s="3">
        <v>5.38</v>
      </c>
      <c r="O822" s="3"/>
      <c r="P822" s="3">
        <f>8.81-8.81</f>
        <v>0</v>
      </c>
      <c r="Q822" s="6">
        <f t="shared" si="1782"/>
        <v>90.7</v>
      </c>
      <c r="R822" s="3"/>
      <c r="S822" s="3">
        <v>75.989999999999995</v>
      </c>
      <c r="T822" s="3">
        <v>6.27</v>
      </c>
      <c r="U822" s="3"/>
      <c r="V822" s="3"/>
      <c r="W822" s="3"/>
      <c r="X822" s="2">
        <f t="shared" si="1780"/>
        <v>82.259999999999991</v>
      </c>
      <c r="Y822" s="6">
        <f t="shared" si="1783"/>
        <v>8.4400000000000119</v>
      </c>
      <c r="Z822" s="2"/>
      <c r="AA822" s="2"/>
      <c r="AB822" s="2"/>
      <c r="AC822" s="3"/>
      <c r="AD822" s="2"/>
      <c r="AE822" s="2"/>
      <c r="AF822" s="2"/>
      <c r="AG822" s="2"/>
      <c r="AH822" s="2" t="s">
        <v>3208</v>
      </c>
      <c r="AI822" s="2" t="s">
        <v>3207</v>
      </c>
      <c r="AJ822" s="2"/>
      <c r="AK822" s="2"/>
      <c r="AL822" s="2" t="s">
        <v>4228</v>
      </c>
      <c r="AM822" s="2" t="s">
        <v>4332</v>
      </c>
      <c r="AN822" s="2"/>
      <c r="AO822" s="2" t="s">
        <v>3794</v>
      </c>
      <c r="AP822" s="2" t="s">
        <v>2934</v>
      </c>
      <c r="AQ822" s="2"/>
      <c r="AR822" s="16" t="s">
        <v>3750</v>
      </c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</row>
    <row r="823" spans="3:58" ht="17.25" customHeight="1">
      <c r="C823" s="1">
        <v>43952</v>
      </c>
      <c r="E823" s="2" t="s">
        <v>3194</v>
      </c>
      <c r="F823" s="2"/>
      <c r="G823" s="2" t="s">
        <v>3211</v>
      </c>
      <c r="H823" s="2" t="s">
        <v>3212</v>
      </c>
      <c r="I823" s="2"/>
      <c r="J823" s="2">
        <v>1</v>
      </c>
      <c r="K823" s="2"/>
      <c r="L823" s="3">
        <v>83.5</v>
      </c>
      <c r="M823" s="3">
        <v>8.35</v>
      </c>
      <c r="N823" s="3">
        <v>4.28</v>
      </c>
      <c r="O823" s="3">
        <v>0</v>
      </c>
      <c r="P823" s="3">
        <f>6.89-6.89</f>
        <v>0</v>
      </c>
      <c r="Q823" s="6">
        <f t="shared" si="1782"/>
        <v>70.87</v>
      </c>
      <c r="R823" s="3"/>
      <c r="S823" s="3">
        <v>65.19</v>
      </c>
      <c r="T823" s="3">
        <v>5.37</v>
      </c>
      <c r="U823" s="3"/>
      <c r="V823" s="3"/>
      <c r="W823" s="3">
        <f>6.51+0.54</f>
        <v>7.05</v>
      </c>
      <c r="X823" s="2">
        <f t="shared" si="1780"/>
        <v>63.510000000000005</v>
      </c>
      <c r="Y823" s="6">
        <f t="shared" si="1783"/>
        <v>7.3599999999999994</v>
      </c>
      <c r="Z823" s="2"/>
      <c r="AA823" s="2"/>
      <c r="AB823" s="2"/>
      <c r="AC823" s="3"/>
      <c r="AD823" s="2"/>
      <c r="AE823" s="2"/>
      <c r="AF823" s="2"/>
      <c r="AG823" s="2"/>
      <c r="AH823" s="2" t="s">
        <v>3210</v>
      </c>
      <c r="AI823" s="2" t="s">
        <v>3209</v>
      </c>
      <c r="AJ823" s="2"/>
      <c r="AK823" s="2"/>
      <c r="AL823" s="2" t="s">
        <v>3086</v>
      </c>
      <c r="AM823" s="16" t="s">
        <v>3861</v>
      </c>
      <c r="AN823" s="2">
        <v>1</v>
      </c>
      <c r="AO823" s="10" t="s">
        <v>3800</v>
      </c>
      <c r="AP823" s="2" t="s">
        <v>3696</v>
      </c>
      <c r="AQ823" s="2"/>
      <c r="AR823" s="16" t="s">
        <v>3759</v>
      </c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</row>
    <row r="824" spans="3:58" ht="17.25" customHeight="1">
      <c r="C824" s="1">
        <v>43952</v>
      </c>
      <c r="E824" s="2" t="s">
        <v>3157</v>
      </c>
      <c r="F824" s="2"/>
      <c r="G824" s="2" t="s">
        <v>3191</v>
      </c>
      <c r="H824" s="2" t="s">
        <v>3607</v>
      </c>
      <c r="I824" s="2"/>
      <c r="J824" s="2">
        <v>0</v>
      </c>
      <c r="K824" s="2"/>
      <c r="L824" s="3">
        <v>0</v>
      </c>
      <c r="M824" s="3">
        <v>0</v>
      </c>
      <c r="N824" s="3">
        <v>0</v>
      </c>
      <c r="O824" s="3"/>
      <c r="P824" s="3"/>
      <c r="Q824" s="6">
        <f t="shared" ref="Q824" si="1784">+L824-M824-N824+P824</f>
        <v>0</v>
      </c>
      <c r="R824" s="3"/>
      <c r="S824" s="3">
        <v>0</v>
      </c>
      <c r="T824" s="3">
        <v>0</v>
      </c>
      <c r="U824" s="3"/>
      <c r="V824" s="3"/>
      <c r="W824" s="3"/>
      <c r="X824" s="2">
        <f t="shared" ref="X824" si="1785">+S824+T824++U824+V824-W824</f>
        <v>0</v>
      </c>
      <c r="Y824" s="6">
        <f t="shared" ref="Y824" si="1786">+Q824-X824</f>
        <v>0</v>
      </c>
      <c r="Z824" s="2"/>
      <c r="AA824" s="2"/>
      <c r="AB824" s="2"/>
      <c r="AC824" s="3"/>
      <c r="AD824" s="2"/>
      <c r="AE824" s="2"/>
      <c r="AF824" s="2"/>
      <c r="AG824" s="2"/>
      <c r="AH824" s="2" t="s">
        <v>3193</v>
      </c>
      <c r="AI824" s="2" t="s">
        <v>3192</v>
      </c>
      <c r="AJ824" s="2"/>
      <c r="AK824" s="2"/>
      <c r="AL824" s="2"/>
      <c r="AM824" s="5" t="s">
        <v>3256</v>
      </c>
      <c r="AN824" s="2"/>
      <c r="AO824" s="2" t="s">
        <v>3588</v>
      </c>
      <c r="AP824" s="2" t="s">
        <v>3501</v>
      </c>
      <c r="AQ824" s="2"/>
      <c r="AR824" s="16" t="s">
        <v>3589</v>
      </c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</row>
    <row r="825" spans="3:58" ht="17.25" customHeight="1">
      <c r="C825" s="1">
        <v>43952</v>
      </c>
      <c r="E825" s="2" t="s">
        <v>3178</v>
      </c>
      <c r="F825" s="2"/>
      <c r="G825" s="2" t="s">
        <v>3187</v>
      </c>
      <c r="H825" s="2" t="s">
        <v>3188</v>
      </c>
      <c r="I825" s="2"/>
      <c r="J825" s="2">
        <v>1</v>
      </c>
      <c r="K825" s="2"/>
      <c r="L825" s="3">
        <v>83.5</v>
      </c>
      <c r="M825" s="3">
        <v>8.35</v>
      </c>
      <c r="N825" s="3">
        <v>4.3</v>
      </c>
      <c r="O825" s="3">
        <v>0</v>
      </c>
      <c r="P825" s="3">
        <f>7.31-7.31</f>
        <v>0</v>
      </c>
      <c r="Q825" s="6">
        <f t="shared" ref="Q825" si="1787">+L825-M825-N825+P825</f>
        <v>70.850000000000009</v>
      </c>
      <c r="R825" s="3"/>
      <c r="S825" s="3">
        <v>65.19</v>
      </c>
      <c r="T825" s="3">
        <v>5.7</v>
      </c>
      <c r="U825" s="3"/>
      <c r="V825" s="3"/>
      <c r="W825" s="3">
        <f>6.51+0.57</f>
        <v>7.08</v>
      </c>
      <c r="X825" s="2">
        <f t="shared" ref="X825" si="1788">+S825+T825++U825+V825-W825</f>
        <v>63.81</v>
      </c>
      <c r="Y825" s="6">
        <f t="shared" ref="Y825" si="1789">+Q825-X825</f>
        <v>7.0400000000000063</v>
      </c>
      <c r="Z825" s="2"/>
      <c r="AA825" s="2"/>
      <c r="AB825" s="2"/>
      <c r="AC825" s="3"/>
      <c r="AD825" s="2"/>
      <c r="AE825" s="2"/>
      <c r="AF825" s="2"/>
      <c r="AG825" s="2"/>
      <c r="AH825" s="2" t="s">
        <v>3190</v>
      </c>
      <c r="AI825" s="2" t="s">
        <v>3189</v>
      </c>
      <c r="AJ825" s="2"/>
      <c r="AK825" s="2"/>
      <c r="AL825" s="2" t="s">
        <v>3071</v>
      </c>
      <c r="AM825" s="16" t="s">
        <v>3741</v>
      </c>
      <c r="AN825" s="2">
        <v>1</v>
      </c>
      <c r="AO825" s="2" t="s">
        <v>3697</v>
      </c>
      <c r="AP825" s="2" t="s">
        <v>3696</v>
      </c>
      <c r="AQ825" s="2"/>
      <c r="AR825" s="16" t="s">
        <v>3694</v>
      </c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</row>
    <row r="826" spans="3:58" ht="17.25" customHeight="1">
      <c r="C826" s="1">
        <v>43952</v>
      </c>
      <c r="E826" s="2" t="s">
        <v>3179</v>
      </c>
      <c r="F826" s="2"/>
      <c r="G826" s="2" t="s">
        <v>3184</v>
      </c>
      <c r="H826" s="2" t="s">
        <v>3636</v>
      </c>
      <c r="I826" s="2"/>
      <c r="J826" s="2">
        <v>0</v>
      </c>
      <c r="K826" s="2"/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6">
        <f t="shared" ref="Q826" si="1790">+L826-M826-N826+P826</f>
        <v>0</v>
      </c>
      <c r="R826" s="3"/>
      <c r="S826" s="3">
        <v>0</v>
      </c>
      <c r="T826" s="3">
        <v>0</v>
      </c>
      <c r="U826" s="3"/>
      <c r="V826" s="3"/>
      <c r="W826" s="3">
        <v>0</v>
      </c>
      <c r="X826" s="2">
        <f t="shared" ref="X826" si="1791">+S826+T826++U826+V826-W826</f>
        <v>0</v>
      </c>
      <c r="Y826" s="6">
        <f t="shared" ref="Y826" si="1792">+Q826-X826</f>
        <v>0</v>
      </c>
      <c r="Z826" s="2"/>
      <c r="AA826" s="2"/>
      <c r="AB826" s="2"/>
      <c r="AC826" s="3"/>
      <c r="AD826" s="2"/>
      <c r="AE826" s="2"/>
      <c r="AF826" s="2"/>
      <c r="AG826" s="2"/>
      <c r="AH826" s="2" t="s">
        <v>3186</v>
      </c>
      <c r="AI826" s="2" t="s">
        <v>3185</v>
      </c>
      <c r="AJ826" s="2"/>
      <c r="AK826" s="2"/>
      <c r="AL826" s="2" t="s">
        <v>2926</v>
      </c>
      <c r="AM826" s="16" t="s">
        <v>3635</v>
      </c>
      <c r="AN826" s="2"/>
      <c r="AO826" s="2" t="s">
        <v>3253</v>
      </c>
      <c r="AP826" s="2" t="s">
        <v>3252</v>
      </c>
      <c r="AQ826" s="2"/>
      <c r="AR826" s="16" t="s">
        <v>3219</v>
      </c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</row>
    <row r="827" spans="3:58" ht="17.25" customHeight="1">
      <c r="C827" s="1">
        <v>43952</v>
      </c>
      <c r="E827" s="2" t="s">
        <v>2289</v>
      </c>
      <c r="F827" s="2"/>
      <c r="G827" s="2" t="s">
        <v>3180</v>
      </c>
      <c r="H827" s="2" t="s">
        <v>3181</v>
      </c>
      <c r="I827" s="2"/>
      <c r="J827" s="2">
        <v>1</v>
      </c>
      <c r="K827" s="2"/>
      <c r="L827" s="3">
        <v>35.5</v>
      </c>
      <c r="M827" s="3">
        <v>3.55</v>
      </c>
      <c r="N827" s="3">
        <v>1.98</v>
      </c>
      <c r="O827" s="3"/>
      <c r="P827" s="3">
        <v>2.57</v>
      </c>
      <c r="Q827" s="6">
        <f t="shared" ref="Q827" si="1793">+L827-M827-N827+P827</f>
        <v>32.54</v>
      </c>
      <c r="R827" s="3"/>
      <c r="S827" s="3">
        <v>16.46</v>
      </c>
      <c r="T827" s="3">
        <v>1.52</v>
      </c>
      <c r="U827" s="3">
        <v>0</v>
      </c>
      <c r="V827" s="3"/>
      <c r="W827" s="3"/>
      <c r="X827" s="2">
        <f t="shared" ref="X827" si="1794">+S827+T827++U827+V827-W827</f>
        <v>17.98</v>
      </c>
      <c r="Y827" s="6">
        <f t="shared" ref="Y827" si="1795">+Q827-X827</f>
        <v>14.559999999999999</v>
      </c>
      <c r="Z827" s="2"/>
      <c r="AA827" s="2"/>
      <c r="AB827" s="2"/>
      <c r="AC827" s="3"/>
      <c r="AD827" s="2"/>
      <c r="AE827" s="2"/>
      <c r="AF827" s="2"/>
      <c r="AG827" s="2"/>
      <c r="AH827" s="2" t="s">
        <v>3183</v>
      </c>
      <c r="AI827" s="2" t="s">
        <v>3182</v>
      </c>
      <c r="AJ827" s="2"/>
      <c r="AK827" s="2"/>
      <c r="AL827" s="2" t="s">
        <v>2922</v>
      </c>
      <c r="AM827" s="16" t="s">
        <v>4189</v>
      </c>
      <c r="AN827" s="2"/>
      <c r="AO827" s="2" t="s">
        <v>3679</v>
      </c>
      <c r="AP827" s="2"/>
      <c r="AQ827" s="2"/>
      <c r="AR827" s="16" t="s">
        <v>3680</v>
      </c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</row>
    <row r="828" spans="3:58" ht="17.25" customHeight="1">
      <c r="C828" s="1">
        <v>43952</v>
      </c>
      <c r="E828" s="2" t="s">
        <v>3170</v>
      </c>
      <c r="F828" s="2"/>
      <c r="G828" s="2" t="s">
        <v>3174</v>
      </c>
      <c r="H828" s="2" t="s">
        <v>3175</v>
      </c>
      <c r="I828" s="2"/>
      <c r="J828" s="2">
        <v>1</v>
      </c>
      <c r="K828" s="2"/>
      <c r="L828" s="3">
        <v>83.5</v>
      </c>
      <c r="M828" s="3">
        <v>8.35</v>
      </c>
      <c r="N828" s="3">
        <v>4.24</v>
      </c>
      <c r="O828" s="3">
        <v>0</v>
      </c>
      <c r="P828" s="3">
        <f>6.05-6.05</f>
        <v>0</v>
      </c>
      <c r="Q828" s="6">
        <f t="shared" ref="Q828" si="1796">+L828-M828-N828+P828</f>
        <v>70.910000000000011</v>
      </c>
      <c r="R828" s="3"/>
      <c r="S828" s="3">
        <v>65.19</v>
      </c>
      <c r="T828" s="3">
        <v>4.72</v>
      </c>
      <c r="U828" s="3"/>
      <c r="V828" s="3"/>
      <c r="W828" s="3">
        <f>6.51+0.48</f>
        <v>6.99</v>
      </c>
      <c r="X828" s="2">
        <f t="shared" ref="X828" si="1797">+S828+T828++U828+V828-W828</f>
        <v>62.919999999999995</v>
      </c>
      <c r="Y828" s="6">
        <f t="shared" ref="Y828" si="1798">+Q828-X828</f>
        <v>7.9900000000000162</v>
      </c>
      <c r="Z828" s="2"/>
      <c r="AA828" s="2"/>
      <c r="AB828" s="2"/>
      <c r="AC828" s="3"/>
      <c r="AD828" s="2"/>
      <c r="AE828" s="2"/>
      <c r="AF828" s="2"/>
      <c r="AG828" s="2"/>
      <c r="AH828" s="2" t="s">
        <v>3177</v>
      </c>
      <c r="AI828" s="2" t="s">
        <v>3176</v>
      </c>
      <c r="AJ828" s="2"/>
      <c r="AK828" s="2"/>
      <c r="AL828" s="2" t="s">
        <v>2926</v>
      </c>
      <c r="AM828" s="16" t="s">
        <v>3742</v>
      </c>
      <c r="AN828" s="2">
        <v>1</v>
      </c>
      <c r="AO828" s="2" t="s">
        <v>3695</v>
      </c>
      <c r="AP828" s="2" t="s">
        <v>3696</v>
      </c>
      <c r="AQ828" s="2"/>
      <c r="AR828" s="16" t="s">
        <v>3694</v>
      </c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</row>
    <row r="829" spans="3:58" ht="17.25" customHeight="1">
      <c r="C829" s="1">
        <v>43952</v>
      </c>
      <c r="E829" s="2" t="s">
        <v>2979</v>
      </c>
      <c r="F829" s="2"/>
      <c r="G829" s="2" t="s">
        <v>3171</v>
      </c>
      <c r="H829" s="2" t="s">
        <v>5031</v>
      </c>
      <c r="I829" s="2"/>
      <c r="J829" s="2">
        <v>1</v>
      </c>
      <c r="K829" s="2"/>
      <c r="L829" s="3">
        <v>0</v>
      </c>
      <c r="M829" s="3">
        <v>0</v>
      </c>
      <c r="N829" s="3">
        <v>0</v>
      </c>
      <c r="O829" s="3">
        <v>0</v>
      </c>
      <c r="P829" s="3">
        <f>3.93-3.93</f>
        <v>0</v>
      </c>
      <c r="Q829" s="6">
        <f t="shared" ref="Q829" si="1799">+L829-M829-N829+P829</f>
        <v>0</v>
      </c>
      <c r="R829" s="3"/>
      <c r="S829" s="3">
        <v>0</v>
      </c>
      <c r="T829" s="3">
        <v>0</v>
      </c>
      <c r="U829" s="3"/>
      <c r="V829" s="3">
        <v>0</v>
      </c>
      <c r="W829" s="3"/>
      <c r="X829" s="2">
        <f t="shared" ref="X829" si="1800">+S829+T829++U829+V829-W829</f>
        <v>0</v>
      </c>
      <c r="Y829" s="6">
        <f t="shared" ref="Y829" si="1801">+Q829-X829</f>
        <v>0</v>
      </c>
      <c r="Z829" s="2"/>
      <c r="AA829" s="2"/>
      <c r="AB829" s="2"/>
      <c r="AC829" s="3"/>
      <c r="AD829" s="2"/>
      <c r="AE829" s="2"/>
      <c r="AF829" s="2"/>
      <c r="AG829" s="2"/>
      <c r="AH829" s="2" t="s">
        <v>3173</v>
      </c>
      <c r="AI829" s="2" t="s">
        <v>3172</v>
      </c>
      <c r="AJ829" s="2"/>
      <c r="AK829" s="2"/>
      <c r="AL829" s="2" t="s">
        <v>3071</v>
      </c>
      <c r="AM829" s="16" t="s">
        <v>3801</v>
      </c>
      <c r="AN829" s="2"/>
      <c r="AO829" s="2" t="s">
        <v>3698</v>
      </c>
      <c r="AP829" s="2" t="s">
        <v>3519</v>
      </c>
      <c r="AQ829" s="2"/>
      <c r="AR829" s="16" t="s">
        <v>3699</v>
      </c>
      <c r="AS829" s="2"/>
      <c r="AT829" s="2" t="s">
        <v>6330</v>
      </c>
      <c r="AU829" s="2" t="s">
        <v>5689</v>
      </c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</row>
    <row r="830" spans="3:58" ht="17.25" customHeight="1">
      <c r="C830" s="1">
        <v>43952</v>
      </c>
      <c r="E830" s="2" t="s">
        <v>3157</v>
      </c>
      <c r="F830" s="2"/>
      <c r="G830" s="2" t="s">
        <v>3167</v>
      </c>
      <c r="H830" s="2" t="s">
        <v>4419</v>
      </c>
      <c r="I830" s="2"/>
      <c r="J830" s="2">
        <v>1</v>
      </c>
      <c r="K830" s="2"/>
      <c r="L830" s="3">
        <v>75.150000000000006</v>
      </c>
      <c r="M830" s="3">
        <v>7.51</v>
      </c>
      <c r="N830" s="3">
        <v>3.61</v>
      </c>
      <c r="O830" s="3"/>
      <c r="P830" s="3"/>
      <c r="Q830" s="6">
        <f t="shared" ref="Q830" si="1802">+L830-M830-N830+P830</f>
        <v>64.03</v>
      </c>
      <c r="R830" s="3"/>
      <c r="S830" s="3">
        <v>49</v>
      </c>
      <c r="T830" s="3">
        <v>5.64</v>
      </c>
      <c r="U830" s="3"/>
      <c r="V830" s="3"/>
      <c r="W830" s="3"/>
      <c r="X830" s="2">
        <f t="shared" ref="X830" si="1803">+S830+T830++U830+V830-W830</f>
        <v>54.64</v>
      </c>
      <c r="Y830" s="6">
        <f t="shared" ref="Y830" si="1804">+Q830-X830</f>
        <v>9.39</v>
      </c>
      <c r="Z830" s="2"/>
      <c r="AA830" s="2"/>
      <c r="AB830" s="2"/>
      <c r="AC830" s="3"/>
      <c r="AD830" s="2"/>
      <c r="AE830" s="2"/>
      <c r="AF830" s="2"/>
      <c r="AG830" s="2"/>
      <c r="AH830" s="2" t="s">
        <v>3169</v>
      </c>
      <c r="AI830" s="2" t="s">
        <v>3168</v>
      </c>
      <c r="AJ830" s="2"/>
      <c r="AK830" s="2"/>
      <c r="AL830" s="2" t="s">
        <v>4554</v>
      </c>
      <c r="AM830" s="2" t="s">
        <v>5134</v>
      </c>
      <c r="AN830" s="2"/>
      <c r="AO830" s="2" t="s">
        <v>3420</v>
      </c>
      <c r="AP830" s="2" t="s">
        <v>3416</v>
      </c>
      <c r="AQ830" s="2"/>
      <c r="AR830" s="16" t="s">
        <v>3419</v>
      </c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</row>
    <row r="831" spans="3:58" ht="17.25" customHeight="1">
      <c r="C831" s="1">
        <v>43952</v>
      </c>
      <c r="E831" s="2" t="s">
        <v>3158</v>
      </c>
      <c r="F831" s="2"/>
      <c r="G831" s="2" t="s">
        <v>3166</v>
      </c>
      <c r="H831" s="2" t="s">
        <v>3574</v>
      </c>
      <c r="I831" s="2"/>
      <c r="J831" s="2">
        <v>0</v>
      </c>
      <c r="K831" s="2"/>
      <c r="L831" s="3">
        <v>0</v>
      </c>
      <c r="M831" s="3">
        <v>0</v>
      </c>
      <c r="N831" s="3">
        <v>0</v>
      </c>
      <c r="O831" s="3"/>
      <c r="P831" s="3">
        <f>8.7-8.7</f>
        <v>0</v>
      </c>
      <c r="Q831" s="6">
        <f t="shared" ref="Q831" si="1805">+L831-M831-N831+P831</f>
        <v>0</v>
      </c>
      <c r="R831" s="3"/>
      <c r="S831" s="3">
        <v>0</v>
      </c>
      <c r="T831" s="3">
        <v>0</v>
      </c>
      <c r="U831" s="3"/>
      <c r="V831" s="3"/>
      <c r="W831" s="3"/>
      <c r="X831" s="2">
        <f t="shared" ref="X831" si="1806">+S831+T831++U831+V831-W831</f>
        <v>0</v>
      </c>
      <c r="Y831" s="6">
        <f t="shared" ref="Y831" si="1807">+Q831-X831</f>
        <v>0</v>
      </c>
      <c r="Z831" s="2"/>
      <c r="AA831" s="2"/>
      <c r="AB831" s="2"/>
      <c r="AC831" s="3"/>
      <c r="AD831" s="2"/>
      <c r="AE831" s="2"/>
      <c r="AF831" s="2"/>
      <c r="AG831" s="2"/>
      <c r="AH831" s="2" t="s">
        <v>3165</v>
      </c>
      <c r="AI831" s="2" t="s">
        <v>3164</v>
      </c>
      <c r="AJ831" s="2"/>
      <c r="AK831" s="2"/>
      <c r="AL831" s="2"/>
      <c r="AM831" s="5" t="s">
        <v>3256</v>
      </c>
      <c r="AN831" s="2"/>
      <c r="AO831" s="16" t="s">
        <v>3555</v>
      </c>
      <c r="AP831" s="2" t="s">
        <v>3556</v>
      </c>
      <c r="AQ831" s="2"/>
      <c r="AR831" s="19" t="s">
        <v>3230</v>
      </c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</row>
    <row r="832" spans="3:58" ht="17.25" customHeight="1">
      <c r="C832" s="1">
        <v>43952</v>
      </c>
      <c r="E832" s="2" t="s">
        <v>2979</v>
      </c>
      <c r="F832" s="2"/>
      <c r="G832" s="2" t="s">
        <v>3163</v>
      </c>
      <c r="H832" s="2" t="s">
        <v>3488</v>
      </c>
      <c r="I832" s="2"/>
      <c r="J832" s="2">
        <v>1</v>
      </c>
      <c r="K832" s="2"/>
      <c r="L832" s="3">
        <v>54.25</v>
      </c>
      <c r="M832" s="3">
        <v>5.42</v>
      </c>
      <c r="N832" s="3">
        <v>2.88</v>
      </c>
      <c r="O832" s="3">
        <v>0</v>
      </c>
      <c r="P832" s="3">
        <f>4.34-4.34</f>
        <v>0</v>
      </c>
      <c r="Q832" s="6">
        <f t="shared" ref="Q832" si="1808">+L832-M832-N832+P832</f>
        <v>45.949999999999996</v>
      </c>
      <c r="R832" s="3"/>
      <c r="S832" s="3">
        <v>38.78</v>
      </c>
      <c r="T832" s="3">
        <v>3.1</v>
      </c>
      <c r="U832" s="3"/>
      <c r="V832" s="3">
        <v>0</v>
      </c>
      <c r="W832" s="3"/>
      <c r="X832" s="2">
        <f t="shared" ref="X832" si="1809">+S832+T832++U832+V832-W832</f>
        <v>41.88</v>
      </c>
      <c r="Y832" s="6">
        <f t="shared" ref="Y832" si="1810">+Q832-X832</f>
        <v>4.0699999999999932</v>
      </c>
      <c r="Z832" s="2"/>
      <c r="AA832" s="2"/>
      <c r="AB832" s="2"/>
      <c r="AC832" s="3"/>
      <c r="AD832" s="2"/>
      <c r="AE832" s="2"/>
      <c r="AF832" s="2"/>
      <c r="AG832" s="2"/>
      <c r="AH832" s="2" t="s">
        <v>3605</v>
      </c>
      <c r="AI832" s="2" t="s">
        <v>3606</v>
      </c>
      <c r="AJ832" s="2"/>
      <c r="AK832" s="2"/>
      <c r="AL832" s="2" t="s">
        <v>2922</v>
      </c>
      <c r="AM832" s="16" t="s">
        <v>3557</v>
      </c>
      <c r="AN832" s="2"/>
      <c r="AO832" s="2" t="s">
        <v>3513</v>
      </c>
      <c r="AP832" s="2"/>
      <c r="AQ832" s="2"/>
      <c r="AR832" s="16" t="s">
        <v>3313</v>
      </c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</row>
    <row r="833" spans="2:58" ht="17.25" customHeight="1">
      <c r="C833" s="1">
        <v>43952</v>
      </c>
      <c r="E833" s="2" t="s">
        <v>2979</v>
      </c>
      <c r="F833" s="2"/>
      <c r="G833" s="2" t="s">
        <v>3159</v>
      </c>
      <c r="H833" s="2" t="s">
        <v>3160</v>
      </c>
      <c r="I833" s="2"/>
      <c r="J833" s="2">
        <v>1</v>
      </c>
      <c r="K833" s="2"/>
      <c r="L833" s="3">
        <v>54.25</v>
      </c>
      <c r="M833" s="3">
        <v>5.42</v>
      </c>
      <c r="N833" s="3">
        <v>2.93</v>
      </c>
      <c r="O833" s="3">
        <v>0</v>
      </c>
      <c r="P833" s="3">
        <f>5.56-5.56</f>
        <v>0</v>
      </c>
      <c r="Q833" s="6">
        <f t="shared" ref="Q833" si="1811">+L833-M833-N833+P833</f>
        <v>45.9</v>
      </c>
      <c r="R833" s="3"/>
      <c r="S833" s="3">
        <v>34.01</v>
      </c>
      <c r="T833" s="3">
        <v>3.49</v>
      </c>
      <c r="U833" s="3"/>
      <c r="V833" s="3">
        <v>0</v>
      </c>
      <c r="W833" s="3"/>
      <c r="X833" s="2">
        <f t="shared" ref="X833" si="1812">+S833+T833++U833+V833-W833</f>
        <v>37.5</v>
      </c>
      <c r="Y833" s="6">
        <f t="shared" ref="Y833" si="1813">+Q833-X833</f>
        <v>8.3999999999999986</v>
      </c>
      <c r="Z833" s="6">
        <f>SUM(Y818:Y833)</f>
        <v>86.240000000000009</v>
      </c>
      <c r="AA833" s="2"/>
      <c r="AB833" s="2"/>
      <c r="AC833" s="3"/>
      <c r="AD833" s="2"/>
      <c r="AE833" s="2"/>
      <c r="AF833" s="2"/>
      <c r="AG833" s="2"/>
      <c r="AH833" s="2" t="s">
        <v>3162</v>
      </c>
      <c r="AI833" s="2" t="s">
        <v>3161</v>
      </c>
      <c r="AJ833" s="2"/>
      <c r="AK833" s="2"/>
      <c r="AL833" s="2" t="s">
        <v>3071</v>
      </c>
      <c r="AM833" s="16" t="s">
        <v>3604</v>
      </c>
      <c r="AN833" s="2"/>
      <c r="AO833" s="2" t="s">
        <v>3550</v>
      </c>
      <c r="AP833" s="2" t="s">
        <v>3519</v>
      </c>
      <c r="AQ833" s="2"/>
      <c r="AR833" s="16" t="s">
        <v>3551</v>
      </c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</row>
    <row r="834" spans="2:58" ht="17.25" customHeight="1">
      <c r="E834" s="2"/>
      <c r="F834" s="2"/>
      <c r="G834" s="2"/>
      <c r="H834" s="2"/>
      <c r="I834" s="2"/>
      <c r="J834" s="2">
        <f>SUM(J506:J833)</f>
        <v>285</v>
      </c>
      <c r="K834" s="2">
        <f>+Y834/J834</f>
        <v>6.9872280701754397</v>
      </c>
      <c r="L834" s="2">
        <f>SUM(L645:L833)</f>
        <v>7578.1499999999942</v>
      </c>
      <c r="M834" s="2">
        <f>SUM(M645:M833)</f>
        <v>757.31000000000006</v>
      </c>
      <c r="N834" s="2">
        <f>SUM(N645:N833)</f>
        <v>398.47999999999996</v>
      </c>
      <c r="O834" s="3"/>
      <c r="P834" s="2">
        <f>SUM(P645:P833)</f>
        <v>70.599999999999994</v>
      </c>
      <c r="Q834" s="34">
        <f>SUM(Q2:Q833)</f>
        <v>36468.249999999971</v>
      </c>
      <c r="R834" s="3"/>
      <c r="S834" s="34">
        <f t="shared" ref="S834:X834" si="1814">SUM(S2:S833)</f>
        <v>27061.530000000013</v>
      </c>
      <c r="T834" s="34">
        <f t="shared" si="1814"/>
        <v>1838.2200000000023</v>
      </c>
      <c r="U834" s="34">
        <f t="shared" si="1814"/>
        <v>616.20000000000039</v>
      </c>
      <c r="V834" s="34">
        <f t="shared" si="1814"/>
        <v>12</v>
      </c>
      <c r="W834" s="34">
        <f t="shared" si="1814"/>
        <v>855.43000000000018</v>
      </c>
      <c r="X834" s="34">
        <f t="shared" si="1814"/>
        <v>28533.390000000021</v>
      </c>
      <c r="Y834" s="34">
        <f>SUM(Y506:Y833)</f>
        <v>1991.3600000000004</v>
      </c>
      <c r="Z834" s="34">
        <f>SUM(Z506:Z833)</f>
        <v>1961.4800000000002</v>
      </c>
      <c r="AA834" s="2"/>
      <c r="AB834" s="2"/>
      <c r="AC834" s="3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34">
        <f>SUM(AN2:AN833)</f>
        <v>31</v>
      </c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</row>
    <row r="835" spans="2:58" ht="17.25" customHeight="1">
      <c r="E835" s="2"/>
      <c r="F835" s="2"/>
      <c r="G835" s="2"/>
      <c r="H835" s="2"/>
      <c r="I835" s="2"/>
      <c r="J835" s="2"/>
      <c r="K835" s="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>
        <v>2150</v>
      </c>
      <c r="Z835" s="6"/>
      <c r="AA835" s="2"/>
      <c r="AB835" s="2"/>
      <c r="AC835" s="3"/>
      <c r="AD835" s="2"/>
      <c r="AE835" s="2"/>
      <c r="AF835" s="2"/>
      <c r="AG835" s="2"/>
      <c r="AH835" s="2"/>
      <c r="AI835" s="2"/>
      <c r="AJ835" s="2"/>
      <c r="AK835" s="2"/>
      <c r="AL835" s="2"/>
      <c r="AM835" s="2" t="s">
        <v>4579</v>
      </c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</row>
    <row r="836" spans="2:58" ht="17.25" customHeight="1">
      <c r="C836" s="1">
        <v>43951</v>
      </c>
      <c r="E836" s="2" t="s">
        <v>3133</v>
      </c>
      <c r="F836" s="2"/>
      <c r="G836" s="2" t="s">
        <v>4446</v>
      </c>
      <c r="H836" s="2" t="s">
        <v>3812</v>
      </c>
      <c r="I836" s="2"/>
      <c r="J836" s="2">
        <v>0</v>
      </c>
      <c r="K836" s="2"/>
      <c r="L836" s="3">
        <v>0</v>
      </c>
      <c r="M836" s="3">
        <v>0</v>
      </c>
      <c r="N836" s="3">
        <v>0</v>
      </c>
      <c r="O836" s="3"/>
      <c r="P836" s="3">
        <f>4.11-4.11</f>
        <v>0</v>
      </c>
      <c r="Q836" s="6">
        <f t="shared" ref="Q836:Q839" si="1815">+L836-M836-N836+P836</f>
        <v>0</v>
      </c>
      <c r="R836" s="3"/>
      <c r="S836" s="3">
        <v>0</v>
      </c>
      <c r="T836" s="3">
        <v>0</v>
      </c>
      <c r="U836" s="3"/>
      <c r="V836" s="3"/>
      <c r="W836" s="3"/>
      <c r="X836" s="2">
        <f t="shared" ref="X836" si="1816">+S836+T836++U836+V836-W836</f>
        <v>0</v>
      </c>
      <c r="Y836" s="6">
        <f t="shared" ref="Y836" si="1817">+Q836-X836</f>
        <v>0</v>
      </c>
      <c r="Z836" s="2"/>
      <c r="AA836" s="2"/>
      <c r="AB836" s="2"/>
      <c r="AC836" s="3"/>
      <c r="AD836" s="2"/>
      <c r="AE836" s="2"/>
      <c r="AF836" s="2"/>
      <c r="AG836" s="2"/>
      <c r="AH836" s="2" t="s">
        <v>3135</v>
      </c>
      <c r="AI836" s="2" t="s">
        <v>3134</v>
      </c>
      <c r="AJ836" s="2"/>
      <c r="AK836" s="2"/>
      <c r="AL836" s="2"/>
      <c r="AM836" s="5" t="s">
        <v>493</v>
      </c>
      <c r="AN836" s="2"/>
      <c r="AO836" s="2" t="s">
        <v>3236</v>
      </c>
      <c r="AP836" s="2"/>
      <c r="AQ836" s="2"/>
      <c r="AR836" s="16" t="s">
        <v>3237</v>
      </c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</row>
    <row r="837" spans="2:58" ht="17.25" customHeight="1">
      <c r="C837" s="1">
        <v>43951</v>
      </c>
      <c r="E837" s="2" t="s">
        <v>3157</v>
      </c>
      <c r="F837" s="2"/>
      <c r="G837" s="2" t="s">
        <v>3149</v>
      </c>
      <c r="H837" s="2" t="s">
        <v>3150</v>
      </c>
      <c r="I837" s="2"/>
      <c r="J837" s="2">
        <v>1</v>
      </c>
      <c r="K837" s="2"/>
      <c r="L837" s="3">
        <v>75.150000000000006</v>
      </c>
      <c r="M837" s="3">
        <v>7.51</v>
      </c>
      <c r="N837" s="3">
        <v>3.78</v>
      </c>
      <c r="O837" s="3"/>
      <c r="P837" s="3"/>
      <c r="Q837" s="6">
        <f t="shared" si="1815"/>
        <v>63.86</v>
      </c>
      <c r="R837" s="3"/>
      <c r="S837" s="3">
        <v>49</v>
      </c>
      <c r="T837" s="3">
        <v>2.57</v>
      </c>
      <c r="U837" s="3"/>
      <c r="V837" s="3"/>
      <c r="W837" s="3"/>
      <c r="X837" s="2">
        <f t="shared" ref="X837" si="1818">+S837+T837++U837+V837-W837</f>
        <v>51.57</v>
      </c>
      <c r="Y837" s="6">
        <f t="shared" ref="Y837" si="1819">+Q837-X837</f>
        <v>12.29</v>
      </c>
      <c r="Z837" s="2"/>
      <c r="AA837" s="2"/>
      <c r="AB837" s="2"/>
      <c r="AC837" s="3"/>
      <c r="AD837" s="2"/>
      <c r="AE837" s="2"/>
      <c r="AF837" s="2"/>
      <c r="AG837" s="2"/>
      <c r="AH837" s="2" t="s">
        <v>3132</v>
      </c>
      <c r="AI837" s="2" t="s">
        <v>3131</v>
      </c>
      <c r="AJ837" s="2"/>
      <c r="AK837" s="2"/>
      <c r="AL837" s="2" t="s">
        <v>3224</v>
      </c>
      <c r="AM837" s="2" t="s">
        <v>3276</v>
      </c>
      <c r="AN837" s="2"/>
      <c r="AO837" s="2" t="s">
        <v>3151</v>
      </c>
      <c r="AR837" s="19" t="s">
        <v>3152</v>
      </c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</row>
    <row r="838" spans="2:58" ht="17.25" customHeight="1">
      <c r="C838" s="1">
        <v>43951</v>
      </c>
      <c r="E838" s="2" t="s">
        <v>3127</v>
      </c>
      <c r="F838" s="2"/>
      <c r="G838" s="2" t="s">
        <v>3126</v>
      </c>
      <c r="H838" s="2" t="s">
        <v>3128</v>
      </c>
      <c r="I838" s="2"/>
      <c r="J838" s="2">
        <v>1</v>
      </c>
      <c r="K838" s="2"/>
      <c r="L838" s="3">
        <v>37.75</v>
      </c>
      <c r="M838" s="3">
        <v>3.77</v>
      </c>
      <c r="N838" s="3">
        <v>2.1</v>
      </c>
      <c r="O838" s="3"/>
      <c r="P838" s="3">
        <f>3.11-3.11</f>
        <v>0</v>
      </c>
      <c r="Q838" s="6">
        <f t="shared" si="1815"/>
        <v>31.879999999999995</v>
      </c>
      <c r="R838" s="3"/>
      <c r="S838" s="3">
        <v>21.78</v>
      </c>
      <c r="T838" s="3">
        <v>1.79</v>
      </c>
      <c r="U838" s="3">
        <v>5</v>
      </c>
      <c r="V838" s="3"/>
      <c r="W838" s="3"/>
      <c r="X838" s="2">
        <f t="shared" ref="X838" si="1820">+S838+T838++U838+V838-W838</f>
        <v>28.57</v>
      </c>
      <c r="Y838" s="6">
        <f t="shared" ref="Y838" si="1821">+Q838-X838</f>
        <v>3.3099999999999952</v>
      </c>
      <c r="Z838" s="2"/>
      <c r="AA838" s="2"/>
      <c r="AB838" s="2"/>
      <c r="AC838" s="3"/>
      <c r="AD838" s="2"/>
      <c r="AE838" s="2"/>
      <c r="AF838" s="2"/>
      <c r="AG838" s="2"/>
      <c r="AH838" s="2" t="s">
        <v>3130</v>
      </c>
      <c r="AI838" s="2" t="s">
        <v>3129</v>
      </c>
      <c r="AJ838" s="2"/>
      <c r="AK838" s="2"/>
      <c r="AL838" s="2" t="s">
        <v>2926</v>
      </c>
      <c r="AM838" s="16" t="s">
        <v>3414</v>
      </c>
      <c r="AN838" s="2"/>
      <c r="AO838" s="2" t="s">
        <v>3147</v>
      </c>
      <c r="AR838" s="2" t="s">
        <v>3148</v>
      </c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</row>
    <row r="839" spans="2:58" ht="17.25" customHeight="1">
      <c r="C839" s="1">
        <v>43951</v>
      </c>
      <c r="E839" s="2" t="s">
        <v>2289</v>
      </c>
      <c r="F839" s="2"/>
      <c r="G839" s="2" t="s">
        <v>3122</v>
      </c>
      <c r="H839" s="2" t="s">
        <v>3123</v>
      </c>
      <c r="I839" s="2"/>
      <c r="J839" s="2">
        <v>1</v>
      </c>
      <c r="K839" s="2"/>
      <c r="L839" s="3">
        <v>35.5</v>
      </c>
      <c r="M839" s="3">
        <v>3.55</v>
      </c>
      <c r="N839" s="3">
        <v>1.94</v>
      </c>
      <c r="O839" s="3"/>
      <c r="P839" s="3">
        <f>1.82-1.82</f>
        <v>0</v>
      </c>
      <c r="Q839" s="6">
        <f t="shared" si="1815"/>
        <v>30.009999999999998</v>
      </c>
      <c r="R839" s="3"/>
      <c r="S839" s="3">
        <v>19.98</v>
      </c>
      <c r="T839" s="3"/>
      <c r="U839" s="3">
        <v>5.99</v>
      </c>
      <c r="V839" s="3"/>
      <c r="W839" s="3"/>
      <c r="X839" s="2">
        <f t="shared" ref="X839" si="1822">+S839+T839++U839+V839-W839</f>
        <v>25.97</v>
      </c>
      <c r="Y839" s="6">
        <f t="shared" ref="Y839" si="1823">+Q839-X839</f>
        <v>4.0399999999999991</v>
      </c>
      <c r="Z839" s="2"/>
      <c r="AA839" s="2"/>
      <c r="AB839" s="2"/>
      <c r="AC839" s="3"/>
      <c r="AD839" s="2"/>
      <c r="AE839" s="2"/>
      <c r="AF839" s="2"/>
      <c r="AG839" s="2"/>
      <c r="AH839" s="2" t="s">
        <v>3125</v>
      </c>
      <c r="AI839" s="2" t="s">
        <v>3124</v>
      </c>
      <c r="AJ839" s="2"/>
      <c r="AK839" s="2"/>
      <c r="AL839" s="2" t="s">
        <v>3071</v>
      </c>
      <c r="AM839" s="16" t="s">
        <v>3688</v>
      </c>
      <c r="AN839" s="2"/>
      <c r="AO839" s="2" t="s">
        <v>3537</v>
      </c>
      <c r="AP839" s="2" t="s">
        <v>3539</v>
      </c>
      <c r="AQ839" s="2"/>
      <c r="AR839" s="16" t="s">
        <v>3538</v>
      </c>
      <c r="AS839" s="2" t="s">
        <v>3686</v>
      </c>
      <c r="AT839" s="2" t="s">
        <v>3687</v>
      </c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</row>
    <row r="840" spans="2:58" ht="17.25" customHeight="1">
      <c r="C840" s="1">
        <v>43951</v>
      </c>
      <c r="E840" s="2" t="s">
        <v>3119</v>
      </c>
      <c r="F840" s="2"/>
      <c r="G840" s="2" t="s">
        <v>3117</v>
      </c>
      <c r="H840" s="2" t="s">
        <v>3118</v>
      </c>
      <c r="I840" s="2"/>
      <c r="J840" s="2">
        <v>1</v>
      </c>
      <c r="K840" s="2"/>
      <c r="L840" s="3">
        <v>22.85</v>
      </c>
      <c r="M840" s="3">
        <v>2.2799999999999998</v>
      </c>
      <c r="N840" s="3">
        <v>1.38</v>
      </c>
      <c r="O840" s="3"/>
      <c r="P840" s="3">
        <v>1.66</v>
      </c>
      <c r="Q840" s="6">
        <f t="shared" ref="Q840" si="1824">+L840-M840-N840+P840</f>
        <v>20.85</v>
      </c>
      <c r="R840" s="3"/>
      <c r="S840" s="3">
        <v>11.99</v>
      </c>
      <c r="T840" s="3">
        <v>1.1399999999999999</v>
      </c>
      <c r="U840" s="3"/>
      <c r="V840" s="3"/>
      <c r="W840" s="3"/>
      <c r="X840" s="3">
        <f t="shared" ref="X840" si="1825">+S840+T840++U840+V840-W840</f>
        <v>13.13</v>
      </c>
      <c r="Y840" s="3">
        <f t="shared" ref="Y840" si="1826">+Q840-X840</f>
        <v>7.7200000000000006</v>
      </c>
      <c r="Z840" s="2"/>
      <c r="AA840" s="2"/>
      <c r="AB840" s="2"/>
      <c r="AC840" s="3"/>
      <c r="AD840" s="2"/>
      <c r="AE840" s="2"/>
      <c r="AF840" s="2"/>
      <c r="AG840" s="2"/>
      <c r="AH840" s="2" t="s">
        <v>3121</v>
      </c>
      <c r="AI840" s="2" t="s">
        <v>3120</v>
      </c>
      <c r="AJ840" s="2"/>
      <c r="AK840" s="2"/>
      <c r="AL840" s="2" t="s">
        <v>3224</v>
      </c>
      <c r="AM840" s="2" t="s">
        <v>3411</v>
      </c>
      <c r="AN840" s="2"/>
      <c r="AO840" s="2" t="s">
        <v>3235</v>
      </c>
      <c r="AP840" s="2" t="s">
        <v>3038</v>
      </c>
      <c r="AQ840" s="2"/>
      <c r="AR840" s="16" t="s">
        <v>3219</v>
      </c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</row>
    <row r="841" spans="2:58" ht="17.25" customHeight="1">
      <c r="B841" s="45" t="s">
        <v>1370</v>
      </c>
      <c r="C841" s="1">
        <v>43951</v>
      </c>
      <c r="E841" s="2" t="s">
        <v>1341</v>
      </c>
      <c r="F841" s="2"/>
      <c r="G841" s="2" t="s">
        <v>3111</v>
      </c>
      <c r="H841" s="2" t="s">
        <v>3112</v>
      </c>
      <c r="I841" s="2"/>
      <c r="J841" s="2">
        <v>1</v>
      </c>
      <c r="K841" s="2"/>
      <c r="L841" s="3">
        <v>16.600000000000001</v>
      </c>
      <c r="M841" s="3">
        <v>1.66</v>
      </c>
      <c r="N841" s="3">
        <v>1.1000000000000001</v>
      </c>
      <c r="O841" s="3"/>
      <c r="P841" s="3">
        <f>1.47-1.47</f>
        <v>0</v>
      </c>
      <c r="Q841" s="6">
        <f t="shared" ref="Q841" si="1827">+L841-M841-N841+P841</f>
        <v>13.840000000000002</v>
      </c>
      <c r="R841" s="3"/>
      <c r="S841" s="3">
        <v>4.6100000000000003</v>
      </c>
      <c r="T841" s="3">
        <v>0</v>
      </c>
      <c r="U841" s="3">
        <v>3.47</v>
      </c>
      <c r="V841" s="3"/>
      <c r="W841" s="3"/>
      <c r="X841" s="2">
        <f t="shared" ref="X841" si="1828">+S841+T841++U841+V841-W841</f>
        <v>8.08</v>
      </c>
      <c r="Y841" s="6">
        <f t="shared" ref="Y841" si="1829">+Q841-X841</f>
        <v>5.7600000000000016</v>
      </c>
      <c r="Z841" s="2"/>
      <c r="AA841" s="2"/>
      <c r="AB841" s="2"/>
      <c r="AC841" s="3"/>
      <c r="AD841" s="2"/>
      <c r="AE841" s="2"/>
      <c r="AF841" s="2"/>
      <c r="AG841" s="2"/>
      <c r="AH841" s="2" t="s">
        <v>3116</v>
      </c>
      <c r="AI841" s="2" t="s">
        <v>3115</v>
      </c>
      <c r="AJ841" s="2"/>
      <c r="AK841" s="2"/>
      <c r="AL841" s="2" t="s">
        <v>4253</v>
      </c>
      <c r="AM841" s="16" t="s">
        <v>3974</v>
      </c>
      <c r="AN841" s="2"/>
      <c r="AO841" s="16" t="s">
        <v>3229</v>
      </c>
      <c r="AR841" s="19" t="s">
        <v>3230</v>
      </c>
      <c r="AS841" s="16" t="s">
        <v>8425</v>
      </c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</row>
    <row r="842" spans="2:58" ht="17.25" customHeight="1">
      <c r="C842" s="1">
        <v>43951</v>
      </c>
      <c r="E842" s="2" t="s">
        <v>2979</v>
      </c>
      <c r="F842" s="2"/>
      <c r="G842" s="2" t="s">
        <v>3525</v>
      </c>
      <c r="H842" s="2" t="s">
        <v>3524</v>
      </c>
      <c r="I842" s="2"/>
      <c r="J842" s="2">
        <v>1</v>
      </c>
      <c r="K842" s="2"/>
      <c r="L842" s="3">
        <v>54.25</v>
      </c>
      <c r="M842" s="3">
        <v>5.42</v>
      </c>
      <c r="N842" s="3">
        <v>2.9</v>
      </c>
      <c r="O842" s="3">
        <v>0</v>
      </c>
      <c r="P842" s="3">
        <v>4.88</v>
      </c>
      <c r="Q842" s="6">
        <f t="shared" ref="Q842" si="1830">+L842-M842-N842+P842</f>
        <v>50.81</v>
      </c>
      <c r="R842" s="3"/>
      <c r="S842" s="3">
        <v>34.01</v>
      </c>
      <c r="T842" s="3">
        <v>1.44</v>
      </c>
      <c r="U842" s="3"/>
      <c r="V842" s="3">
        <v>0</v>
      </c>
      <c r="W842" s="3"/>
      <c r="X842" s="2">
        <f t="shared" ref="X842" si="1831">+S842+T842++U842+V842-W842</f>
        <v>35.449999999999996</v>
      </c>
      <c r="Y842" s="6">
        <f t="shared" ref="Y842" si="1832">+Q842-X842</f>
        <v>15.360000000000007</v>
      </c>
      <c r="Z842" s="2"/>
      <c r="AA842" s="2"/>
      <c r="AB842" s="2"/>
      <c r="AC842" s="3"/>
      <c r="AD842" s="2"/>
      <c r="AE842" s="2"/>
      <c r="AF842" s="2"/>
      <c r="AG842" s="2"/>
      <c r="AH842" s="2" t="s">
        <v>3114</v>
      </c>
      <c r="AI842" s="2" t="s">
        <v>3113</v>
      </c>
      <c r="AJ842" s="2"/>
      <c r="AK842" s="2"/>
      <c r="AL842" s="2" t="s">
        <v>3071</v>
      </c>
      <c r="AM842" s="16" t="s">
        <v>3577</v>
      </c>
      <c r="AN842" s="2"/>
      <c r="AO842" s="2" t="s">
        <v>3526</v>
      </c>
      <c r="AP842" s="2" t="s">
        <v>3519</v>
      </c>
      <c r="AQ842" s="2"/>
      <c r="AR842" s="16" t="s">
        <v>3417</v>
      </c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</row>
    <row r="843" spans="2:58" ht="17.25" customHeight="1">
      <c r="C843" s="1">
        <v>43951</v>
      </c>
      <c r="E843" s="2" t="s">
        <v>3106</v>
      </c>
      <c r="F843" s="2"/>
      <c r="G843" s="2" t="s">
        <v>3107</v>
      </c>
      <c r="H843" s="2" t="s">
        <v>3108</v>
      </c>
      <c r="I843" s="2"/>
      <c r="J843" s="2">
        <v>1</v>
      </c>
      <c r="K843" s="2"/>
      <c r="L843" s="3">
        <v>81.5</v>
      </c>
      <c r="M843" s="3">
        <v>8.15</v>
      </c>
      <c r="N843" s="3">
        <v>4.1500000000000004</v>
      </c>
      <c r="O843" s="3"/>
      <c r="P843" s="3">
        <f>5.71-5.71</f>
        <v>0</v>
      </c>
      <c r="Q843" s="6">
        <f t="shared" ref="Q843:Q844" si="1833">+L843-M843-N843+P843</f>
        <v>69.199999999999989</v>
      </c>
      <c r="R843" s="3"/>
      <c r="S843" s="3">
        <v>65.19</v>
      </c>
      <c r="T843" s="3">
        <v>4.57</v>
      </c>
      <c r="U843" s="3"/>
      <c r="V843" s="3"/>
      <c r="W843" s="3">
        <f>6.51+0.45</f>
        <v>6.96</v>
      </c>
      <c r="X843" s="2">
        <f t="shared" ref="X843" si="1834">+S843+T843++U843+V843-W843</f>
        <v>62.79999999999999</v>
      </c>
      <c r="Y843" s="6">
        <f t="shared" ref="Y843" si="1835">+Q843-X843</f>
        <v>6.3999999999999986</v>
      </c>
      <c r="Z843" s="2"/>
      <c r="AA843" s="6">
        <f>+Y843</f>
        <v>6.3999999999999986</v>
      </c>
      <c r="AB843" s="2"/>
      <c r="AC843" s="3"/>
      <c r="AD843" s="2"/>
      <c r="AE843" s="2"/>
      <c r="AF843" s="2"/>
      <c r="AG843" s="2"/>
      <c r="AH843" s="2" t="s">
        <v>3110</v>
      </c>
      <c r="AI843" s="2" t="s">
        <v>3109</v>
      </c>
      <c r="AJ843" s="2"/>
      <c r="AK843" s="2"/>
      <c r="AL843" s="2" t="s">
        <v>2925</v>
      </c>
      <c r="AM843" s="16" t="s">
        <v>3859</v>
      </c>
      <c r="AN843" s="2"/>
      <c r="AO843" s="2" t="s">
        <v>3860</v>
      </c>
      <c r="AP843" s="2" t="s">
        <v>3696</v>
      </c>
      <c r="AQ843" s="2"/>
      <c r="AR843" s="16" t="s">
        <v>3759</v>
      </c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</row>
    <row r="844" spans="2:58" ht="17.25" customHeight="1">
      <c r="C844" s="1">
        <v>43951</v>
      </c>
      <c r="E844" s="2" t="s">
        <v>1952</v>
      </c>
      <c r="F844" s="2"/>
      <c r="G844" s="2" t="s">
        <v>3102</v>
      </c>
      <c r="H844" s="2" t="s">
        <v>3103</v>
      </c>
      <c r="I844" s="2"/>
      <c r="J844" s="2">
        <v>1</v>
      </c>
      <c r="K844" s="2"/>
      <c r="L844" s="3">
        <v>18.25</v>
      </c>
      <c r="M844" s="3">
        <v>1.83</v>
      </c>
      <c r="N844" s="3">
        <v>1.18</v>
      </c>
      <c r="O844" s="3">
        <v>0</v>
      </c>
      <c r="P844" s="3">
        <v>1.83</v>
      </c>
      <c r="Q844" s="6">
        <f t="shared" si="1833"/>
        <v>17.07</v>
      </c>
      <c r="R844" s="3"/>
      <c r="S844" s="3">
        <v>12.3</v>
      </c>
      <c r="T844" s="3">
        <v>0</v>
      </c>
      <c r="U844" s="3"/>
      <c r="V844" s="3"/>
      <c r="W844" s="3">
        <v>1.23</v>
      </c>
      <c r="X844" s="2">
        <f t="shared" ref="X844" si="1836">+S844+T844++U844+V844-W844</f>
        <v>11.07</v>
      </c>
      <c r="Y844" s="6">
        <f t="shared" ref="Y844" si="1837">+Q844-X844</f>
        <v>6</v>
      </c>
      <c r="Z844" s="2"/>
      <c r="AA844" s="2"/>
      <c r="AB844" s="2"/>
      <c r="AC844" s="3"/>
      <c r="AD844" s="2"/>
      <c r="AE844" s="2"/>
      <c r="AF844" s="2"/>
      <c r="AG844" s="2"/>
      <c r="AH844" s="2" t="s">
        <v>3105</v>
      </c>
      <c r="AI844" s="2" t="s">
        <v>3104</v>
      </c>
      <c r="AJ844" s="2"/>
      <c r="AK844" s="2"/>
      <c r="AL844" s="2" t="s">
        <v>2926</v>
      </c>
      <c r="AM844" s="16" t="s">
        <v>3409</v>
      </c>
      <c r="AN844" s="2"/>
      <c r="AO844" s="2" t="s">
        <v>3251</v>
      </c>
      <c r="AP844" s="2" t="s">
        <v>3252</v>
      </c>
      <c r="AQ844" s="2"/>
      <c r="AR844" s="16" t="s">
        <v>3219</v>
      </c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</row>
    <row r="845" spans="2:58" ht="17.25" customHeight="1">
      <c r="C845" s="1">
        <v>43951</v>
      </c>
      <c r="E845" s="2" t="s">
        <v>2289</v>
      </c>
      <c r="F845" s="2"/>
      <c r="G845" s="2" t="s">
        <v>4240</v>
      </c>
      <c r="H845" s="2" t="s">
        <v>4219</v>
      </c>
      <c r="I845" s="2"/>
      <c r="J845" s="2">
        <v>0</v>
      </c>
      <c r="K845" s="2"/>
      <c r="L845" s="3">
        <v>0</v>
      </c>
      <c r="M845" s="3">
        <v>0</v>
      </c>
      <c r="N845" s="3">
        <v>0</v>
      </c>
      <c r="O845" s="3"/>
      <c r="P845" s="3">
        <v>0</v>
      </c>
      <c r="Q845" s="6">
        <f t="shared" ref="Q845:Q847" si="1838">+L845-M845-N845+P845</f>
        <v>0</v>
      </c>
      <c r="R845" s="3"/>
      <c r="S845" s="3">
        <v>0</v>
      </c>
      <c r="T845" s="3"/>
      <c r="U845" s="3">
        <v>0</v>
      </c>
      <c r="V845" s="3"/>
      <c r="W845" s="3"/>
      <c r="X845" s="2">
        <f t="shared" ref="X845" si="1839">+S845+T845++U845+V845-W845</f>
        <v>0</v>
      </c>
      <c r="Y845" s="6">
        <f t="shared" ref="Y845" si="1840">+Q845-X845</f>
        <v>0</v>
      </c>
      <c r="Z845" s="2"/>
      <c r="AA845" s="2"/>
      <c r="AB845" s="2"/>
      <c r="AC845" s="3"/>
      <c r="AD845" s="2"/>
      <c r="AE845" s="2"/>
      <c r="AF845" s="2"/>
      <c r="AG845" s="2"/>
      <c r="AH845" s="2" t="s">
        <v>3101</v>
      </c>
      <c r="AI845" s="2" t="s">
        <v>3100</v>
      </c>
      <c r="AJ845" s="2"/>
      <c r="AK845" s="2"/>
      <c r="AL845" s="2"/>
      <c r="AM845" s="2" t="s">
        <v>4709</v>
      </c>
      <c r="AN845" s="2"/>
      <c r="AO845" s="2" t="s">
        <v>3781</v>
      </c>
      <c r="AP845" s="2"/>
      <c r="AQ845" s="2"/>
      <c r="AR845" s="16" t="s">
        <v>3759</v>
      </c>
      <c r="AS845" s="2"/>
      <c r="AU845" s="2" t="s">
        <v>4238</v>
      </c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</row>
    <row r="846" spans="2:58" ht="17.25" customHeight="1">
      <c r="C846" s="1">
        <v>43950</v>
      </c>
      <c r="E846" s="2" t="s">
        <v>3024</v>
      </c>
      <c r="F846" s="2"/>
      <c r="G846" s="2" t="s">
        <v>3058</v>
      </c>
      <c r="H846" s="2" t="s">
        <v>3597</v>
      </c>
      <c r="I846" s="2"/>
      <c r="J846" s="2">
        <v>1</v>
      </c>
      <c r="K846" s="2"/>
      <c r="L846" s="3">
        <v>32.5</v>
      </c>
      <c r="M846" s="3">
        <v>3.25</v>
      </c>
      <c r="N846" s="3">
        <v>1.83</v>
      </c>
      <c r="O846" s="3"/>
      <c r="P846" s="3">
        <v>2.36</v>
      </c>
      <c r="Q846" s="6">
        <f t="shared" si="1838"/>
        <v>29.78</v>
      </c>
      <c r="R846" s="3"/>
      <c r="S846" s="3">
        <v>14.99</v>
      </c>
      <c r="T846" s="3">
        <v>1.25</v>
      </c>
      <c r="U846" s="3">
        <v>0</v>
      </c>
      <c r="V846" s="3"/>
      <c r="W846" s="3">
        <v>1.5</v>
      </c>
      <c r="X846" s="2">
        <f t="shared" ref="X846" si="1841">+S846+T846++U846+V846-W846</f>
        <v>14.740000000000002</v>
      </c>
      <c r="Y846" s="6">
        <f t="shared" ref="Y846" si="1842">+Q846-X846</f>
        <v>15.04</v>
      </c>
      <c r="Z846" s="2"/>
      <c r="AA846" s="2"/>
      <c r="AB846" s="2"/>
      <c r="AC846" s="3"/>
      <c r="AD846" s="2"/>
      <c r="AE846" s="2"/>
      <c r="AF846" s="2"/>
      <c r="AG846" s="2"/>
      <c r="AH846" s="2" t="s">
        <v>3057</v>
      </c>
      <c r="AI846" s="2" t="s">
        <v>3056</v>
      </c>
      <c r="AJ846" s="2"/>
      <c r="AK846" s="2"/>
      <c r="AL846" s="2" t="s">
        <v>3224</v>
      </c>
      <c r="AM846" s="2" t="s">
        <v>3598</v>
      </c>
      <c r="AN846" s="2"/>
      <c r="AO846" s="2" t="s">
        <v>3155</v>
      </c>
      <c r="AR846" s="2" t="s">
        <v>3156</v>
      </c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</row>
    <row r="847" spans="2:58" ht="17.25" customHeight="1">
      <c r="C847" s="1">
        <v>43950</v>
      </c>
      <c r="E847" s="2" t="s">
        <v>1952</v>
      </c>
      <c r="F847" s="2"/>
      <c r="G847" s="2" t="s">
        <v>3052</v>
      </c>
      <c r="H847" s="2" t="s">
        <v>3053</v>
      </c>
      <c r="I847" s="2"/>
      <c r="J847" s="2">
        <v>1</v>
      </c>
      <c r="K847" s="2"/>
      <c r="L847" s="3">
        <v>18.25</v>
      </c>
      <c r="M847" s="3">
        <v>1.82</v>
      </c>
      <c r="N847" s="3">
        <v>1.17</v>
      </c>
      <c r="O847" s="3">
        <v>0</v>
      </c>
      <c r="P847" s="3">
        <f>1.51-1.51</f>
        <v>0</v>
      </c>
      <c r="Q847" s="6">
        <f t="shared" si="1838"/>
        <v>15.26</v>
      </c>
      <c r="R847" s="3"/>
      <c r="S847" s="3">
        <v>12.3</v>
      </c>
      <c r="T847" s="3">
        <v>1.02</v>
      </c>
      <c r="U847" s="3"/>
      <c r="V847" s="3"/>
      <c r="W847" s="3">
        <v>1.23</v>
      </c>
      <c r="X847" s="2">
        <f t="shared" ref="X847" si="1843">+S847+T847++U847+V847-W847</f>
        <v>12.09</v>
      </c>
      <c r="Y847" s="6">
        <f t="shared" ref="Y847" si="1844">+Q847-X847</f>
        <v>3.17</v>
      </c>
      <c r="Z847" s="2"/>
      <c r="AA847" s="2"/>
      <c r="AB847" s="2"/>
      <c r="AC847" s="3"/>
      <c r="AD847" s="2"/>
      <c r="AE847" s="2"/>
      <c r="AF847" s="2"/>
      <c r="AG847" s="2"/>
      <c r="AH847" s="2" t="s">
        <v>3055</v>
      </c>
      <c r="AI847" s="2" t="s">
        <v>3054</v>
      </c>
      <c r="AJ847" s="2"/>
      <c r="AK847" s="2"/>
      <c r="AL847" s="2" t="s">
        <v>2926</v>
      </c>
      <c r="AM847" s="16" t="s">
        <v>3678</v>
      </c>
      <c r="AN847" s="2"/>
      <c r="AO847" s="2" t="s">
        <v>3066</v>
      </c>
      <c r="AP847" s="2"/>
      <c r="AQ847" s="2"/>
      <c r="AR847" s="16" t="s">
        <v>3313</v>
      </c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</row>
    <row r="848" spans="2:58" ht="17.25" customHeight="1">
      <c r="C848" s="1">
        <v>43950</v>
      </c>
      <c r="E848" s="2" t="s">
        <v>3158</v>
      </c>
      <c r="F848" s="2"/>
      <c r="G848" s="2" t="s">
        <v>3048</v>
      </c>
      <c r="H848" s="2" t="s">
        <v>3049</v>
      </c>
      <c r="I848" s="2"/>
      <c r="J848" s="2">
        <v>1</v>
      </c>
      <c r="K848" s="2"/>
      <c r="L848" s="3">
        <v>105.5</v>
      </c>
      <c r="M848" s="3">
        <v>10.55</v>
      </c>
      <c r="N848" s="3">
        <v>5.32</v>
      </c>
      <c r="O848" s="3"/>
      <c r="P848" s="3">
        <f>8.7-8.7</f>
        <v>0</v>
      </c>
      <c r="Q848" s="6">
        <f t="shared" ref="Q848" si="1845">+L848-M848-N848+P848</f>
        <v>89.63</v>
      </c>
      <c r="R848" s="3"/>
      <c r="S848" s="3">
        <v>75.989999999999995</v>
      </c>
      <c r="T848" s="3">
        <v>6.27</v>
      </c>
      <c r="U848" s="3"/>
      <c r="V848" s="3"/>
      <c r="W848" s="3"/>
      <c r="X848" s="2">
        <f t="shared" ref="X848" si="1846">+S848+T848++U848+V848-W848</f>
        <v>82.259999999999991</v>
      </c>
      <c r="Y848" s="6">
        <f t="shared" ref="Y848" si="1847">+Q848-X848</f>
        <v>7.3700000000000045</v>
      </c>
      <c r="Z848" s="2"/>
      <c r="AA848" s="2"/>
      <c r="AB848" s="2"/>
      <c r="AC848" s="3"/>
      <c r="AD848" s="2"/>
      <c r="AE848" s="2"/>
      <c r="AF848" s="2"/>
      <c r="AG848" s="2"/>
      <c r="AH848" s="16" t="s">
        <v>3051</v>
      </c>
      <c r="AI848" s="2" t="s">
        <v>3050</v>
      </c>
      <c r="AJ848" s="2"/>
      <c r="AK848" s="2"/>
      <c r="AL848" s="2" t="s">
        <v>2926</v>
      </c>
      <c r="AM848" s="16" t="s">
        <v>3748</v>
      </c>
      <c r="AN848" s="2"/>
      <c r="AO848" s="2" t="s">
        <v>3146</v>
      </c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</row>
    <row r="849" spans="3:58" ht="17.25" customHeight="1">
      <c r="C849" s="1">
        <v>43950</v>
      </c>
      <c r="E849" s="2" t="s">
        <v>2979</v>
      </c>
      <c r="F849" s="2"/>
      <c r="G849" s="2" t="s">
        <v>3044</v>
      </c>
      <c r="H849" s="2" t="s">
        <v>3045</v>
      </c>
      <c r="I849" s="2"/>
      <c r="J849" s="2">
        <v>1</v>
      </c>
      <c r="K849" s="2"/>
      <c r="L849" s="3">
        <v>54.25</v>
      </c>
      <c r="M849" s="3">
        <v>5.42</v>
      </c>
      <c r="N849" s="3">
        <v>2.91</v>
      </c>
      <c r="O849" s="3">
        <v>0</v>
      </c>
      <c r="P849" s="3">
        <f>5.15-5.15</f>
        <v>0</v>
      </c>
      <c r="Q849" s="6">
        <f t="shared" ref="Q849" si="1848">+L849-M849-N849+P849</f>
        <v>45.92</v>
      </c>
      <c r="R849" s="3"/>
      <c r="S849" s="3">
        <v>34.01</v>
      </c>
      <c r="T849" s="3">
        <v>3.23</v>
      </c>
      <c r="U849" s="3"/>
      <c r="V849" s="3">
        <v>0</v>
      </c>
      <c r="W849" s="3"/>
      <c r="X849" s="2">
        <f t="shared" ref="X849" si="1849">+S849+T849++U849+V849-W849</f>
        <v>37.239999999999995</v>
      </c>
      <c r="Y849" s="6">
        <f t="shared" ref="Y849" si="1850">+Q849-X849</f>
        <v>8.6800000000000068</v>
      </c>
      <c r="Z849" s="2"/>
      <c r="AA849" s="2"/>
      <c r="AB849" s="2"/>
      <c r="AC849" s="3"/>
      <c r="AD849" s="2"/>
      <c r="AE849" s="2"/>
      <c r="AF849" s="2"/>
      <c r="AG849" s="2"/>
      <c r="AH849" s="2" t="s">
        <v>3047</v>
      </c>
      <c r="AI849" s="2" t="s">
        <v>3046</v>
      </c>
      <c r="AJ849" s="2"/>
      <c r="AK849" s="2"/>
      <c r="AL849" s="2" t="s">
        <v>3071</v>
      </c>
      <c r="AM849" s="16" t="s">
        <v>3603</v>
      </c>
      <c r="AN849" s="2"/>
      <c r="AO849" s="2" t="s">
        <v>3528</v>
      </c>
      <c r="AP849" s="2" t="s">
        <v>3519</v>
      </c>
      <c r="AQ849" s="2"/>
      <c r="AR849" s="16" t="s">
        <v>3529</v>
      </c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</row>
    <row r="850" spans="3:58" ht="17.25" customHeight="1">
      <c r="C850" s="1">
        <v>43950</v>
      </c>
      <c r="E850" s="2" t="s">
        <v>2980</v>
      </c>
      <c r="F850" s="2"/>
      <c r="G850" s="2" t="s">
        <v>3041</v>
      </c>
      <c r="H850" s="2" t="s">
        <v>4309</v>
      </c>
      <c r="I850" s="2"/>
      <c r="J850" s="2">
        <v>1</v>
      </c>
      <c r="K850" s="2"/>
      <c r="L850" s="3">
        <v>105.5</v>
      </c>
      <c r="M850" s="3">
        <v>10.55</v>
      </c>
      <c r="N850" s="3">
        <v>4.9400000000000004</v>
      </c>
      <c r="O850" s="3"/>
      <c r="P850" s="3"/>
      <c r="Q850" s="6">
        <f t="shared" ref="Q850" si="1851">+L850-M850-N850+P850</f>
        <v>90.01</v>
      </c>
      <c r="R850" s="3"/>
      <c r="S850" s="3">
        <v>75.989999999999995</v>
      </c>
      <c r="T850" s="3">
        <v>8.36</v>
      </c>
      <c r="U850" s="3"/>
      <c r="V850" s="3"/>
      <c r="W850" s="3"/>
      <c r="X850" s="2">
        <f t="shared" ref="X850" si="1852">+S850+T850++U850+V850-W850</f>
        <v>84.35</v>
      </c>
      <c r="Y850" s="6">
        <f t="shared" ref="Y850" si="1853">+Q850-X850</f>
        <v>5.6600000000000108</v>
      </c>
      <c r="Z850" s="2"/>
      <c r="AA850" s="2"/>
      <c r="AB850" s="2"/>
      <c r="AC850" s="3"/>
      <c r="AD850" s="2"/>
      <c r="AE850" s="2"/>
      <c r="AF850" s="2"/>
      <c r="AG850" s="2"/>
      <c r="AH850" s="2" t="s">
        <v>3043</v>
      </c>
      <c r="AI850" s="2" t="s">
        <v>3042</v>
      </c>
      <c r="AJ850" s="2"/>
      <c r="AK850" s="2"/>
      <c r="AL850" s="2" t="s">
        <v>2922</v>
      </c>
      <c r="AM850" s="2" t="s">
        <v>4310</v>
      </c>
      <c r="AN850" s="2"/>
      <c r="AO850" s="2" t="s">
        <v>3145</v>
      </c>
      <c r="AP850" s="2"/>
      <c r="AQ850" s="2"/>
      <c r="AR850" s="16" t="s">
        <v>4194</v>
      </c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</row>
    <row r="851" spans="3:58" ht="17.25" customHeight="1">
      <c r="C851" s="1">
        <v>43950</v>
      </c>
      <c r="E851" s="2" t="s">
        <v>2979</v>
      </c>
      <c r="F851" s="2"/>
      <c r="G851" s="2" t="s">
        <v>3595</v>
      </c>
      <c r="H851" s="2" t="s">
        <v>3259</v>
      </c>
      <c r="I851" s="2"/>
      <c r="J851" s="2">
        <v>1</v>
      </c>
      <c r="K851" s="2" t="s">
        <v>2887</v>
      </c>
      <c r="L851" s="3">
        <v>54.25</v>
      </c>
      <c r="M851" s="3">
        <v>5.42</v>
      </c>
      <c r="N851" s="3">
        <v>2.69</v>
      </c>
      <c r="O851" s="3">
        <v>0</v>
      </c>
      <c r="P851" s="3">
        <v>0</v>
      </c>
      <c r="Q851" s="6">
        <f t="shared" ref="Q851" si="1854">+L851-M851-N851+P851</f>
        <v>46.14</v>
      </c>
      <c r="R851" s="3"/>
      <c r="S851" s="3">
        <v>38.33</v>
      </c>
      <c r="T851" s="3">
        <v>4.41</v>
      </c>
      <c r="U851" s="3"/>
      <c r="V851" s="3">
        <v>0</v>
      </c>
      <c r="W851" s="3"/>
      <c r="X851" s="2">
        <f t="shared" ref="X851" si="1855">+S851+T851++U851+V851-W851</f>
        <v>42.739999999999995</v>
      </c>
      <c r="Y851" s="6">
        <f t="shared" ref="Y851" si="1856">+Q851-X851</f>
        <v>3.4000000000000057</v>
      </c>
      <c r="Z851" s="2"/>
      <c r="AA851" s="2"/>
      <c r="AB851" s="2"/>
      <c r="AC851" s="3"/>
      <c r="AD851" s="2"/>
      <c r="AE851" s="2"/>
      <c r="AF851" s="2"/>
      <c r="AG851" s="2"/>
      <c r="AH851" s="2" t="s">
        <v>3040</v>
      </c>
      <c r="AI851" s="2" t="s">
        <v>3039</v>
      </c>
      <c r="AJ851" s="2"/>
      <c r="AK851" s="2"/>
      <c r="AL851" s="2" t="s">
        <v>745</v>
      </c>
      <c r="AM851" s="16" t="s">
        <v>4462</v>
      </c>
      <c r="AN851" s="2"/>
      <c r="AO851" s="2" t="s">
        <v>3260</v>
      </c>
      <c r="AP851" s="2" t="s">
        <v>4441</v>
      </c>
      <c r="AQ851" s="2"/>
      <c r="AR851" s="16" t="s">
        <v>3261</v>
      </c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</row>
    <row r="852" spans="3:58" ht="17.25" customHeight="1">
      <c r="C852" s="1">
        <v>43950</v>
      </c>
      <c r="E852" s="2" t="s">
        <v>1922</v>
      </c>
      <c r="F852" s="2"/>
      <c r="G852" s="2" t="s">
        <v>3033</v>
      </c>
      <c r="H852" s="2" t="s">
        <v>3034</v>
      </c>
      <c r="I852" s="2"/>
      <c r="J852" s="2">
        <v>1</v>
      </c>
      <c r="K852" s="2"/>
      <c r="L852" s="3">
        <v>22.85</v>
      </c>
      <c r="M852" s="3">
        <v>2.2799999999999998</v>
      </c>
      <c r="N852" s="3">
        <v>1.38</v>
      </c>
      <c r="O852" s="3"/>
      <c r="P852" s="3">
        <f>1.78-1.78</f>
        <v>0</v>
      </c>
      <c r="Q852" s="6">
        <f t="shared" ref="Q852:Q853" si="1857">+L852-M852-N852+P852</f>
        <v>19.190000000000001</v>
      </c>
      <c r="R852" s="3"/>
      <c r="S852" s="3">
        <v>12.92</v>
      </c>
      <c r="T852" s="3">
        <v>1.01</v>
      </c>
      <c r="U852" s="3"/>
      <c r="V852" s="3"/>
      <c r="W852" s="3"/>
      <c r="X852" s="2">
        <f t="shared" ref="X852" si="1858">+S852+T852++U852+V852-W852</f>
        <v>13.93</v>
      </c>
      <c r="Y852" s="6">
        <f t="shared" ref="Y852" si="1859">+Q852-X852</f>
        <v>5.2600000000000016</v>
      </c>
      <c r="Z852" s="2"/>
      <c r="AA852" s="2"/>
      <c r="AB852" s="2"/>
      <c r="AC852" s="3"/>
      <c r="AD852" s="2"/>
      <c r="AE852" s="2"/>
      <c r="AF852" s="2"/>
      <c r="AG852" s="2"/>
      <c r="AH852" s="2" t="s">
        <v>3036</v>
      </c>
      <c r="AI852" s="2" t="s">
        <v>3035</v>
      </c>
      <c r="AJ852" s="2"/>
      <c r="AK852" s="2"/>
      <c r="AL852" s="2" t="s">
        <v>2922</v>
      </c>
      <c r="AM852" s="2" t="s">
        <v>3225</v>
      </c>
      <c r="AN852" s="2"/>
      <c r="AO852" s="2" t="s">
        <v>3037</v>
      </c>
      <c r="AP852" s="2" t="s">
        <v>3038</v>
      </c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</row>
    <row r="853" spans="3:58" ht="17.25" customHeight="1">
      <c r="C853" s="1">
        <v>43950</v>
      </c>
      <c r="E853" s="2" t="s">
        <v>3016</v>
      </c>
      <c r="F853" s="2"/>
      <c r="G853" s="2" t="s">
        <v>3031</v>
      </c>
      <c r="H853" s="16" t="s">
        <v>3032</v>
      </c>
      <c r="I853" s="2"/>
      <c r="J853" s="2">
        <v>1</v>
      </c>
      <c r="K853" s="2"/>
      <c r="L853" s="3">
        <v>72.5</v>
      </c>
      <c r="M853" s="3">
        <v>7.25</v>
      </c>
      <c r="N853" s="3">
        <v>3.65</v>
      </c>
      <c r="O853" s="3"/>
      <c r="P853" s="3">
        <f>3.63-3.63</f>
        <v>0</v>
      </c>
      <c r="Q853" s="6">
        <f t="shared" si="1857"/>
        <v>61.6</v>
      </c>
      <c r="R853" s="3"/>
      <c r="S853" s="3">
        <v>45.99</v>
      </c>
      <c r="T853" s="3"/>
      <c r="U853" s="3">
        <v>4.99</v>
      </c>
      <c r="V853" s="3"/>
      <c r="W853" s="3">
        <v>4.59</v>
      </c>
      <c r="X853" s="2">
        <f t="shared" ref="X853" si="1860">+S853+T853++U853+V853-W853</f>
        <v>46.39</v>
      </c>
      <c r="Y853" s="6">
        <f t="shared" ref="Y853" si="1861">+Q853-X853</f>
        <v>15.21</v>
      </c>
      <c r="Z853" s="2"/>
      <c r="AA853" s="2"/>
      <c r="AB853" s="2"/>
      <c r="AC853" s="3"/>
      <c r="AD853" s="2"/>
      <c r="AE853" s="2"/>
      <c r="AF853" s="2"/>
      <c r="AG853" s="2"/>
      <c r="AH853" s="2" t="s">
        <v>3030</v>
      </c>
      <c r="AI853" s="2" t="s">
        <v>3029</v>
      </c>
      <c r="AJ853" s="2"/>
      <c r="AK853" s="2"/>
      <c r="AL853" s="2" t="s">
        <v>2922</v>
      </c>
      <c r="AM853" s="2" t="s">
        <v>3383</v>
      </c>
      <c r="AN853" s="2"/>
      <c r="AO853" s="2" t="s">
        <v>3382</v>
      </c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</row>
    <row r="854" spans="3:58" ht="17.25" customHeight="1">
      <c r="C854" s="1">
        <v>43950</v>
      </c>
      <c r="E854" s="2" t="s">
        <v>1646</v>
      </c>
      <c r="F854" s="2"/>
      <c r="G854" s="2" t="s">
        <v>3025</v>
      </c>
      <c r="H854" s="2" t="s">
        <v>3026</v>
      </c>
      <c r="I854" s="2"/>
      <c r="J854" s="2">
        <v>1</v>
      </c>
      <c r="K854" s="2"/>
      <c r="L854" s="3">
        <v>26.5</v>
      </c>
      <c r="M854" s="3">
        <v>2.65</v>
      </c>
      <c r="N854" s="3">
        <v>1.57</v>
      </c>
      <c r="O854" s="3">
        <v>0</v>
      </c>
      <c r="P854" s="3">
        <f>2.47-2.47</f>
        <v>0</v>
      </c>
      <c r="Q854" s="6">
        <f t="shared" ref="Q854" si="1862">+L854-M854-N854+P854</f>
        <v>22.28</v>
      </c>
      <c r="R854" s="3"/>
      <c r="S854" s="3">
        <v>19.989999999999998</v>
      </c>
      <c r="T854" s="3">
        <v>1.86</v>
      </c>
      <c r="U854" s="3"/>
      <c r="V854" s="3"/>
      <c r="W854" s="3"/>
      <c r="X854" s="2">
        <f t="shared" ref="X854" si="1863">+S854+T854++U854+V854-W854</f>
        <v>21.849999999999998</v>
      </c>
      <c r="Y854" s="6">
        <f t="shared" ref="Y854" si="1864">+Q854-X854</f>
        <v>0.43000000000000327</v>
      </c>
      <c r="Z854" s="2"/>
      <c r="AA854" s="2"/>
      <c r="AB854" s="2"/>
      <c r="AC854" s="3"/>
      <c r="AD854" s="2"/>
      <c r="AE854" s="2"/>
      <c r="AF854" s="2"/>
      <c r="AG854" s="2"/>
      <c r="AH854" s="2" t="s">
        <v>3028</v>
      </c>
      <c r="AI854" s="2" t="s">
        <v>3027</v>
      </c>
      <c r="AJ854" s="2"/>
      <c r="AK854" s="2"/>
      <c r="AL854" s="2" t="s">
        <v>2926</v>
      </c>
      <c r="AM854" s="16" t="s">
        <v>3594</v>
      </c>
      <c r="AN854" s="2"/>
      <c r="AO854" s="2" t="s">
        <v>3094</v>
      </c>
      <c r="AP854" s="2" t="s">
        <v>2919</v>
      </c>
      <c r="AQ854" s="2"/>
      <c r="AR854" s="16" t="s">
        <v>3313</v>
      </c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</row>
    <row r="855" spans="3:58" ht="17.25" customHeight="1">
      <c r="C855" s="1">
        <v>43950</v>
      </c>
      <c r="E855" s="2" t="s">
        <v>3003</v>
      </c>
      <c r="F855" s="2"/>
      <c r="G855" s="2" t="s">
        <v>3008</v>
      </c>
      <c r="H855" s="2" t="s">
        <v>3009</v>
      </c>
      <c r="I855" s="2"/>
      <c r="J855" s="2">
        <v>1</v>
      </c>
      <c r="K855" s="2"/>
      <c r="L855" s="3">
        <v>83.5</v>
      </c>
      <c r="M855" s="3">
        <v>8.35</v>
      </c>
      <c r="N855" s="3">
        <v>4.22</v>
      </c>
      <c r="O855" s="3">
        <v>0</v>
      </c>
      <c r="P855" s="3">
        <f>5.64-5.64</f>
        <v>0</v>
      </c>
      <c r="Q855" s="6">
        <f t="shared" ref="Q855" si="1865">+L855-M855-N855+P855</f>
        <v>70.930000000000007</v>
      </c>
      <c r="R855" s="3"/>
      <c r="S855" s="3">
        <v>65.19</v>
      </c>
      <c r="T855" s="3">
        <v>4.4000000000000004</v>
      </c>
      <c r="U855" s="3"/>
      <c r="V855" s="3"/>
      <c r="W855" s="3">
        <f>6.51+0.44</f>
        <v>6.95</v>
      </c>
      <c r="X855" s="2">
        <f t="shared" ref="X855" si="1866">+S855+T855++U855+V855-W855</f>
        <v>62.64</v>
      </c>
      <c r="Y855" s="6">
        <f t="shared" ref="Y855" si="1867">+Q855-X855</f>
        <v>8.2900000000000063</v>
      </c>
      <c r="Z855" s="2"/>
      <c r="AA855" s="6">
        <f>+Y855</f>
        <v>8.2900000000000063</v>
      </c>
      <c r="AB855" s="2"/>
      <c r="AC855" s="3"/>
      <c r="AD855" s="2"/>
      <c r="AE855" s="2"/>
      <c r="AF855" s="2"/>
      <c r="AG855" s="2"/>
      <c r="AH855" s="2" t="s">
        <v>3011</v>
      </c>
      <c r="AI855" s="2" t="s">
        <v>3010</v>
      </c>
      <c r="AJ855" s="2"/>
      <c r="AK855" s="2"/>
      <c r="AL855" s="2" t="s">
        <v>3071</v>
      </c>
      <c r="AM855" s="16" t="s">
        <v>3631</v>
      </c>
      <c r="AN855" s="2"/>
      <c r="AO855" s="2" t="s">
        <v>3610</v>
      </c>
      <c r="AP855" s="2"/>
      <c r="AQ855" s="2"/>
      <c r="AR855" s="16" t="s">
        <v>3518</v>
      </c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</row>
    <row r="856" spans="3:58" ht="17.25" customHeight="1">
      <c r="C856" s="1">
        <v>43950</v>
      </c>
      <c r="E856" s="2" t="s">
        <v>2613</v>
      </c>
      <c r="F856" s="2"/>
      <c r="G856" s="2" t="s">
        <v>3004</v>
      </c>
      <c r="H856" s="2" t="s">
        <v>4334</v>
      </c>
      <c r="I856" s="2"/>
      <c r="J856" s="2">
        <v>1</v>
      </c>
      <c r="K856" s="2"/>
      <c r="L856" s="3">
        <v>70.75</v>
      </c>
      <c r="M856" s="3">
        <v>7.07</v>
      </c>
      <c r="N856" s="3">
        <v>3.41</v>
      </c>
      <c r="O856" s="3"/>
      <c r="P856" s="3"/>
      <c r="Q856" s="6">
        <f t="shared" ref="Q856" si="1868">+L856-M856-N856+P856</f>
        <v>60.269999999999996</v>
      </c>
      <c r="R856" s="3"/>
      <c r="S856" s="3">
        <v>49</v>
      </c>
      <c r="T856" s="3">
        <v>5.39</v>
      </c>
      <c r="U856" s="3"/>
      <c r="V856" s="3"/>
      <c r="W856" s="3"/>
      <c r="X856" s="2">
        <f t="shared" ref="X856" si="1869">+S856+T856++U856+V856-W856</f>
        <v>54.39</v>
      </c>
      <c r="Y856" s="6">
        <f t="shared" ref="Y856" si="1870">+Q856-X856</f>
        <v>5.8799999999999955</v>
      </c>
      <c r="Z856" s="2"/>
      <c r="AA856" s="2"/>
      <c r="AB856" s="2"/>
      <c r="AC856" s="3"/>
      <c r="AD856" s="2"/>
      <c r="AE856" s="2"/>
      <c r="AF856" s="2"/>
      <c r="AG856" s="2"/>
      <c r="AH856" s="2" t="s">
        <v>3006</v>
      </c>
      <c r="AI856" s="2" t="s">
        <v>3005</v>
      </c>
      <c r="AJ856" s="2"/>
      <c r="AK856" s="2"/>
      <c r="AL856" s="2" t="s">
        <v>2922</v>
      </c>
      <c r="AM856" s="16" t="s">
        <v>4335</v>
      </c>
      <c r="AN856" s="2"/>
      <c r="AO856" s="2" t="s">
        <v>3061</v>
      </c>
      <c r="AP856" s="2" t="s">
        <v>2934</v>
      </c>
      <c r="AQ856" s="2"/>
      <c r="AR856" s="16" t="s">
        <v>3311</v>
      </c>
      <c r="AS856" s="16" t="s">
        <v>4194</v>
      </c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</row>
    <row r="857" spans="3:58" ht="17.25" customHeight="1">
      <c r="C857" s="1">
        <v>43950</v>
      </c>
      <c r="E857" s="2" t="s">
        <v>2980</v>
      </c>
      <c r="F857" s="2"/>
      <c r="G857" s="2" t="s">
        <v>3002</v>
      </c>
      <c r="H857" s="2" t="s">
        <v>3142</v>
      </c>
      <c r="I857" s="2"/>
      <c r="J857" s="2">
        <v>0</v>
      </c>
      <c r="K857" s="2"/>
      <c r="L857" s="3">
        <v>0</v>
      </c>
      <c r="M857" s="3">
        <v>0</v>
      </c>
      <c r="N857" s="3">
        <v>0</v>
      </c>
      <c r="O857" s="3"/>
      <c r="P857" s="3"/>
      <c r="Q857" s="6">
        <f t="shared" ref="Q857" si="1871">+L857-M857-N857+P857</f>
        <v>0</v>
      </c>
      <c r="R857" s="3"/>
      <c r="S857" s="3">
        <v>0</v>
      </c>
      <c r="T857" s="3">
        <v>0</v>
      </c>
      <c r="U857" s="3"/>
      <c r="V857" s="3"/>
      <c r="W857" s="3"/>
      <c r="X857" s="2">
        <f t="shared" ref="X857" si="1872">+S857+T857++U857+V857-W857</f>
        <v>0</v>
      </c>
      <c r="Y857" s="6">
        <f t="shared" ref="Y857" si="1873">+Q857-X857</f>
        <v>0</v>
      </c>
      <c r="Z857" s="2"/>
      <c r="AA857" s="2"/>
      <c r="AB857" s="2"/>
      <c r="AC857" s="3"/>
      <c r="AD857" s="2"/>
      <c r="AE857" s="2"/>
      <c r="AF857" s="2"/>
      <c r="AG857" s="2"/>
      <c r="AH857" s="2" t="s">
        <v>3006</v>
      </c>
      <c r="AI857" s="2" t="s">
        <v>3007</v>
      </c>
      <c r="AJ857" s="2"/>
      <c r="AK857" s="2"/>
      <c r="AL857" s="2"/>
      <c r="AM857" s="12" t="s">
        <v>493</v>
      </c>
      <c r="AN857" s="2"/>
      <c r="AO857" s="12" t="s">
        <v>3256</v>
      </c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</row>
    <row r="858" spans="3:58" ht="17.25" customHeight="1">
      <c r="C858" s="1">
        <v>43950</v>
      </c>
      <c r="E858" s="2" t="s">
        <v>2979</v>
      </c>
      <c r="F858" s="2"/>
      <c r="G858" s="2" t="s">
        <v>2998</v>
      </c>
      <c r="H858" s="2" t="s">
        <v>2999</v>
      </c>
      <c r="I858" s="2"/>
      <c r="J858" s="2">
        <v>1</v>
      </c>
      <c r="K858" s="2"/>
      <c r="L858" s="3">
        <v>54.25</v>
      </c>
      <c r="M858" s="3">
        <v>5.42</v>
      </c>
      <c r="N858" s="3">
        <v>2.81</v>
      </c>
      <c r="O858" s="3">
        <v>0</v>
      </c>
      <c r="P858" s="3">
        <f>2.78-2.78</f>
        <v>0</v>
      </c>
      <c r="Q858" s="6">
        <f t="shared" ref="Q858:Q859" si="1874">+L858-M858-N858+P858</f>
        <v>46.019999999999996</v>
      </c>
      <c r="R858" s="3"/>
      <c r="S858" s="3">
        <v>36.979999999999997</v>
      </c>
      <c r="T858" s="3">
        <v>1.9</v>
      </c>
      <c r="U858" s="3"/>
      <c r="V858" s="3">
        <v>0</v>
      </c>
      <c r="W858" s="3"/>
      <c r="X858" s="2">
        <f t="shared" ref="X858:X859" si="1875">+S858+T858++U858+V858-W858</f>
        <v>38.879999999999995</v>
      </c>
      <c r="Y858" s="6">
        <f t="shared" ref="Y858:Y859" si="1876">+Q858-X858</f>
        <v>7.1400000000000006</v>
      </c>
      <c r="Z858" s="2"/>
      <c r="AA858" s="2"/>
      <c r="AB858" s="2"/>
      <c r="AC858" s="3"/>
      <c r="AD858" s="2"/>
      <c r="AE858" s="2"/>
      <c r="AF858" s="2"/>
      <c r="AG858" s="2"/>
      <c r="AH858" s="2" t="s">
        <v>3001</v>
      </c>
      <c r="AI858" s="2" t="s">
        <v>3000</v>
      </c>
      <c r="AJ858" s="2"/>
      <c r="AK858" s="2"/>
      <c r="AL858" s="2" t="s">
        <v>3071</v>
      </c>
      <c r="AM858" s="16" t="s">
        <v>3399</v>
      </c>
      <c r="AN858" s="2"/>
      <c r="AO858" s="2" t="s">
        <v>3258</v>
      </c>
      <c r="AP858" s="2" t="s">
        <v>3519</v>
      </c>
      <c r="AQ858" s="2"/>
      <c r="AR858" s="16" t="s">
        <v>3232</v>
      </c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</row>
    <row r="859" spans="3:58" ht="17.25" customHeight="1">
      <c r="C859" s="1">
        <v>43950</v>
      </c>
      <c r="E859" s="2" t="s">
        <v>2980</v>
      </c>
      <c r="F859" s="2"/>
      <c r="G859" s="2" t="s">
        <v>2995</v>
      </c>
      <c r="H859" s="2" t="s">
        <v>3143</v>
      </c>
      <c r="I859" s="2"/>
      <c r="J859" s="2">
        <v>1</v>
      </c>
      <c r="K859" s="2"/>
      <c r="L859" s="3">
        <v>98.75</v>
      </c>
      <c r="M859" s="3">
        <v>9.8699999999999992</v>
      </c>
      <c r="N859" s="3">
        <v>4.6500000000000004</v>
      </c>
      <c r="O859" s="3"/>
      <c r="P859" s="3"/>
      <c r="Q859" s="6">
        <f t="shared" si="1874"/>
        <v>84.22999999999999</v>
      </c>
      <c r="R859" s="3"/>
      <c r="S859" s="3">
        <v>75.989999999999995</v>
      </c>
      <c r="T859" s="3">
        <v>8.74</v>
      </c>
      <c r="U859" s="3"/>
      <c r="V859" s="3"/>
      <c r="W859" s="3"/>
      <c r="X859" s="2">
        <f t="shared" si="1875"/>
        <v>84.72999999999999</v>
      </c>
      <c r="Y859" s="6">
        <f t="shared" si="1876"/>
        <v>-0.5</v>
      </c>
      <c r="Z859" s="2"/>
      <c r="AA859" s="2"/>
      <c r="AB859" s="2"/>
      <c r="AC859" s="3"/>
      <c r="AD859" s="2"/>
      <c r="AE859" s="2"/>
      <c r="AF859" s="2"/>
      <c r="AG859" s="2"/>
      <c r="AH859" s="2" t="s">
        <v>2997</v>
      </c>
      <c r="AI859" s="2" t="s">
        <v>2996</v>
      </c>
      <c r="AJ859" s="2"/>
      <c r="AK859" s="2"/>
      <c r="AL859" s="2" t="s">
        <v>2922</v>
      </c>
      <c r="AM859" s="16" t="s">
        <v>4311</v>
      </c>
      <c r="AN859" s="2"/>
      <c r="AO859" s="2" t="s">
        <v>3144</v>
      </c>
      <c r="AP859" s="2"/>
      <c r="AQ859" s="2"/>
      <c r="AR859" s="16" t="s">
        <v>4194</v>
      </c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</row>
    <row r="860" spans="3:58" ht="17.25" customHeight="1">
      <c r="C860" s="1">
        <v>43950</v>
      </c>
      <c r="E860" s="2" t="s">
        <v>1619</v>
      </c>
      <c r="F860" s="2"/>
      <c r="G860" s="2" t="s">
        <v>2991</v>
      </c>
      <c r="H860" s="2" t="s">
        <v>2992</v>
      </c>
      <c r="I860" s="2"/>
      <c r="J860" s="2">
        <v>1</v>
      </c>
      <c r="K860" s="2"/>
      <c r="L860" s="3">
        <v>83.5</v>
      </c>
      <c r="M860" s="3">
        <v>8.35</v>
      </c>
      <c r="N860" s="3">
        <v>4.22</v>
      </c>
      <c r="O860" s="3">
        <f>6.89</f>
        <v>6.89</v>
      </c>
      <c r="P860" s="3">
        <f>5.64-5.64</f>
        <v>0</v>
      </c>
      <c r="Q860" s="6">
        <f t="shared" ref="Q860" si="1877">+L860-M860-N860+P860</f>
        <v>70.930000000000007</v>
      </c>
      <c r="R860" s="3"/>
      <c r="S860" s="3">
        <v>65.19</v>
      </c>
      <c r="T860" s="3">
        <v>4.4000000000000004</v>
      </c>
      <c r="U860" s="3"/>
      <c r="V860" s="3"/>
      <c r="W860" s="3">
        <f>6.51+0.44</f>
        <v>6.95</v>
      </c>
      <c r="X860" s="2">
        <f t="shared" ref="X860" si="1878">+S860+T860++U860+V860-W860</f>
        <v>62.64</v>
      </c>
      <c r="Y860" s="6">
        <f t="shared" ref="Y860" si="1879">+Q860-X860</f>
        <v>8.2900000000000063</v>
      </c>
      <c r="Z860" s="2"/>
      <c r="AA860" s="6">
        <f>+Y860</f>
        <v>8.2900000000000063</v>
      </c>
      <c r="AB860" s="2"/>
      <c r="AC860" s="3"/>
      <c r="AD860" s="2"/>
      <c r="AE860" s="2"/>
      <c r="AF860" s="2"/>
      <c r="AG860" s="2"/>
      <c r="AH860" s="2" t="s">
        <v>2994</v>
      </c>
      <c r="AI860" s="2" t="s">
        <v>2993</v>
      </c>
      <c r="AJ860" s="2"/>
      <c r="AK860" s="2"/>
      <c r="AL860" s="2" t="s">
        <v>2925</v>
      </c>
      <c r="AM860" s="16" t="s">
        <v>3632</v>
      </c>
      <c r="AN860" s="2"/>
      <c r="AO860" s="2" t="s">
        <v>3609</v>
      </c>
      <c r="AP860" s="2"/>
      <c r="AQ860" s="2"/>
      <c r="AR860" s="16" t="s">
        <v>3518</v>
      </c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</row>
    <row r="861" spans="3:58" ht="17.25" customHeight="1">
      <c r="C861" s="1">
        <v>43950</v>
      </c>
      <c r="E861" s="2" t="s">
        <v>2979</v>
      </c>
      <c r="F861" s="2"/>
      <c r="G861" s="2" t="s">
        <v>2987</v>
      </c>
      <c r="H861" s="2" t="s">
        <v>2988</v>
      </c>
      <c r="I861" s="2"/>
      <c r="J861" s="2">
        <v>1</v>
      </c>
      <c r="K861" s="2"/>
      <c r="L861" s="3">
        <v>54.25</v>
      </c>
      <c r="M861" s="3">
        <v>5.42</v>
      </c>
      <c r="N861" s="3">
        <v>2.82</v>
      </c>
      <c r="O861" s="3">
        <v>0</v>
      </c>
      <c r="P861" s="3">
        <f>3.04-3.04</f>
        <v>0</v>
      </c>
      <c r="Q861" s="6">
        <f t="shared" ref="Q861" si="1880">+L861-M861-N861+P861</f>
        <v>46.01</v>
      </c>
      <c r="R861" s="3"/>
      <c r="S861" s="3">
        <v>36.979999999999997</v>
      </c>
      <c r="T861" s="3">
        <v>2.48</v>
      </c>
      <c r="U861" s="3"/>
      <c r="V861" s="3">
        <v>0</v>
      </c>
      <c r="W861" s="3"/>
      <c r="X861" s="2">
        <f t="shared" ref="X861" si="1881">+S861+T861++U861+V861-W861</f>
        <v>39.459999999999994</v>
      </c>
      <c r="Y861" s="6">
        <f t="shared" ref="Y861" si="1882">+Q861-X861</f>
        <v>6.5500000000000043</v>
      </c>
      <c r="Z861" s="2"/>
      <c r="AA861" s="2"/>
      <c r="AB861" s="2"/>
      <c r="AC861" s="3"/>
      <c r="AD861" s="2"/>
      <c r="AE861" s="2"/>
      <c r="AF861" s="2"/>
      <c r="AG861" s="2"/>
      <c r="AH861" s="2" t="s">
        <v>2990</v>
      </c>
      <c r="AI861" s="2" t="s">
        <v>2989</v>
      </c>
      <c r="AJ861" s="2"/>
      <c r="AK861" s="2"/>
      <c r="AL861" s="2" t="s">
        <v>3071</v>
      </c>
      <c r="AM861" s="16" t="s">
        <v>3400</v>
      </c>
      <c r="AN861" s="2"/>
      <c r="AO861" s="2" t="s">
        <v>3257</v>
      </c>
      <c r="AP861" s="2" t="s">
        <v>3519</v>
      </c>
      <c r="AQ861" s="2"/>
      <c r="AR861" s="16" t="s">
        <v>3232</v>
      </c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</row>
    <row r="862" spans="3:58" ht="17.25" customHeight="1">
      <c r="C862" s="1">
        <v>43950</v>
      </c>
      <c r="E862" s="2" t="s">
        <v>2613</v>
      </c>
      <c r="F862" s="2"/>
      <c r="G862" s="2" t="s">
        <v>2984</v>
      </c>
      <c r="H862" s="2" t="s">
        <v>3062</v>
      </c>
      <c r="I862" s="2"/>
      <c r="J862" s="2">
        <v>1</v>
      </c>
      <c r="K862" s="2"/>
      <c r="L862" s="3">
        <v>70.5</v>
      </c>
      <c r="M862" s="3">
        <v>7.05</v>
      </c>
      <c r="N862" s="3">
        <v>3.41</v>
      </c>
      <c r="O862" s="3"/>
      <c r="P862" s="3"/>
      <c r="Q862" s="6">
        <f t="shared" ref="Q862" si="1883">+L862-M862-N862+P862</f>
        <v>60.040000000000006</v>
      </c>
      <c r="R862" s="3"/>
      <c r="S862" s="3">
        <v>49</v>
      </c>
      <c r="T862" s="3">
        <v>5.39</v>
      </c>
      <c r="U862" s="3"/>
      <c r="V862" s="3"/>
      <c r="W862" s="3"/>
      <c r="X862" s="2">
        <f t="shared" ref="X862" si="1884">+S862+T862++U862+V862-W862</f>
        <v>54.39</v>
      </c>
      <c r="Y862" s="6">
        <f t="shared" ref="Y862" si="1885">+Q862-X862</f>
        <v>5.6500000000000057</v>
      </c>
      <c r="Z862" s="2"/>
      <c r="AA862" s="2"/>
      <c r="AB862" s="2"/>
      <c r="AC862" s="3"/>
      <c r="AD862" s="2"/>
      <c r="AE862" s="2"/>
      <c r="AF862" s="2"/>
      <c r="AG862" s="2"/>
      <c r="AH862" s="2" t="s">
        <v>2986</v>
      </c>
      <c r="AI862" s="2" t="s">
        <v>2985</v>
      </c>
      <c r="AJ862" s="2"/>
      <c r="AK862" s="2"/>
      <c r="AL862" s="2" t="s">
        <v>2922</v>
      </c>
      <c r="AM862" s="16" t="s">
        <v>4323</v>
      </c>
      <c r="AN862" s="2"/>
      <c r="AO862" s="2" t="s">
        <v>3018</v>
      </c>
      <c r="AP862" s="2" t="s">
        <v>2887</v>
      </c>
      <c r="AQ862" s="2"/>
      <c r="AR862" s="16" t="s">
        <v>3269</v>
      </c>
      <c r="AS862" s="16" t="s">
        <v>4194</v>
      </c>
      <c r="AT862" s="2" t="s">
        <v>4213</v>
      </c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</row>
    <row r="863" spans="3:58" ht="17.25" customHeight="1">
      <c r="C863" s="1">
        <v>43950</v>
      </c>
      <c r="E863" s="2" t="s">
        <v>2978</v>
      </c>
      <c r="F863" s="2"/>
      <c r="G863" s="2" t="s">
        <v>2977</v>
      </c>
      <c r="H863" s="2" t="s">
        <v>2981</v>
      </c>
      <c r="I863" s="2"/>
      <c r="J863" s="2">
        <v>1</v>
      </c>
      <c r="K863" s="2"/>
      <c r="L863" s="3">
        <v>72.5</v>
      </c>
      <c r="M863" s="3">
        <v>7.25</v>
      </c>
      <c r="N863" s="3">
        <v>3.74</v>
      </c>
      <c r="O863" s="3">
        <f>5.28</f>
        <v>5.28</v>
      </c>
      <c r="P863" s="3">
        <f>5.62-5.62</f>
        <v>0</v>
      </c>
      <c r="Q863" s="6">
        <f t="shared" ref="Q863" si="1886">+L863-M863-N863+P863</f>
        <v>61.51</v>
      </c>
      <c r="R863" s="3"/>
      <c r="S863" s="3">
        <v>46.99</v>
      </c>
      <c r="T863" s="3">
        <v>3.28</v>
      </c>
      <c r="U863" s="3">
        <v>4.99</v>
      </c>
      <c r="V863" s="3"/>
      <c r="W863" s="3">
        <v>4.6900000000000004</v>
      </c>
      <c r="X863" s="2">
        <f t="shared" ref="X863" si="1887">+S863+T863++U863+V863-W863</f>
        <v>50.570000000000007</v>
      </c>
      <c r="Y863" s="6">
        <f t="shared" ref="Y863" si="1888">+Q863-X863</f>
        <v>10.939999999999991</v>
      </c>
      <c r="Z863" s="6" t="s">
        <v>2887</v>
      </c>
      <c r="AA863" s="2"/>
      <c r="AB863" s="2"/>
      <c r="AC863" s="3"/>
      <c r="AD863" s="2"/>
      <c r="AE863" s="2"/>
      <c r="AF863" s="2"/>
      <c r="AG863" s="2"/>
      <c r="AH863" s="2" t="s">
        <v>2983</v>
      </c>
      <c r="AI863" s="2" t="s">
        <v>2982</v>
      </c>
      <c r="AJ863" s="2"/>
      <c r="AK863" s="2"/>
      <c r="AL863" s="2" t="s">
        <v>2922</v>
      </c>
      <c r="AM863" s="2" t="s">
        <v>3592</v>
      </c>
      <c r="AN863" s="2"/>
      <c r="AO863" s="2" t="s">
        <v>3141</v>
      </c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</row>
    <row r="864" spans="3:58" ht="17.25" customHeight="1">
      <c r="C864" s="1">
        <v>43949</v>
      </c>
      <c r="E864" s="2" t="s">
        <v>393</v>
      </c>
      <c r="F864" s="2"/>
      <c r="G864" s="2" t="s">
        <v>2960</v>
      </c>
      <c r="H864" s="2" t="s">
        <v>2961</v>
      </c>
      <c r="I864" s="2"/>
      <c r="J864" s="2">
        <v>0</v>
      </c>
      <c r="K864" s="2"/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6">
        <f t="shared" ref="Q864" si="1889">+L864-M864-N864+P864</f>
        <v>0</v>
      </c>
      <c r="R864" s="3"/>
      <c r="S864" s="3">
        <v>0</v>
      </c>
      <c r="T864" s="3">
        <v>0</v>
      </c>
      <c r="U864" s="3"/>
      <c r="V864" s="3">
        <v>0</v>
      </c>
      <c r="W864" s="3"/>
      <c r="X864" s="2">
        <f t="shared" ref="X864" si="1890">+S864+T864++U864+V864-W864</f>
        <v>0</v>
      </c>
      <c r="Y864" s="6">
        <f t="shared" ref="Y864" si="1891">+Q864-X864</f>
        <v>0</v>
      </c>
      <c r="Z864" s="2"/>
      <c r="AA864" s="2"/>
      <c r="AB864" s="2"/>
      <c r="AC864" s="3"/>
      <c r="AD864" s="2"/>
      <c r="AE864" s="2"/>
      <c r="AF864" s="2"/>
      <c r="AG864" s="2"/>
      <c r="AH864" s="2" t="s">
        <v>2963</v>
      </c>
      <c r="AI864" s="2" t="s">
        <v>2962</v>
      </c>
      <c r="AJ864" s="2"/>
      <c r="AK864" s="2"/>
      <c r="AL864" s="2"/>
      <c r="AM864" s="12" t="s">
        <v>493</v>
      </c>
      <c r="AN864" s="2"/>
      <c r="AO864" s="12" t="s">
        <v>3256</v>
      </c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</row>
    <row r="865" spans="2:58" ht="17.25" customHeight="1">
      <c r="C865" s="1">
        <v>43949</v>
      </c>
      <c r="E865" s="2" t="s">
        <v>393</v>
      </c>
      <c r="F865" s="2"/>
      <c r="G865" s="2" t="s">
        <v>2966</v>
      </c>
      <c r="H865" s="2" t="s">
        <v>2967</v>
      </c>
      <c r="I865" s="2"/>
      <c r="J865" s="2">
        <v>1</v>
      </c>
      <c r="K865" s="2"/>
      <c r="L865" s="3">
        <v>54.25</v>
      </c>
      <c r="M865" s="3">
        <v>5.42</v>
      </c>
      <c r="N865" s="3">
        <v>2.91</v>
      </c>
      <c r="O865" s="3">
        <v>0</v>
      </c>
      <c r="P865" s="3">
        <f>5.02-5.02</f>
        <v>0</v>
      </c>
      <c r="Q865" s="6">
        <f t="shared" ref="Q865:Q867" si="1892">+L865-M865-N865+P865</f>
        <v>45.92</v>
      </c>
      <c r="R865" s="3"/>
      <c r="S865" s="3">
        <v>36.99</v>
      </c>
      <c r="T865" s="3">
        <v>3.42</v>
      </c>
      <c r="U865" s="3"/>
      <c r="V865" s="3">
        <v>0</v>
      </c>
      <c r="W865" s="3"/>
      <c r="X865" s="2">
        <f t="shared" ref="X865:X866" si="1893">+S865+T865++U865+V865-W865</f>
        <v>40.410000000000004</v>
      </c>
      <c r="Y865" s="6">
        <f t="shared" ref="Y865:Y866" si="1894">+Q865-X865</f>
        <v>5.509999999999998</v>
      </c>
      <c r="Z865" s="2"/>
      <c r="AA865" s="2"/>
      <c r="AB865" s="2"/>
      <c r="AC865" s="3"/>
      <c r="AD865" s="2"/>
      <c r="AE865" s="2"/>
      <c r="AF865" s="2"/>
      <c r="AG865" s="2"/>
      <c r="AH865" s="2" t="s">
        <v>2969</v>
      </c>
      <c r="AI865" s="2" t="s">
        <v>2968</v>
      </c>
      <c r="AJ865" s="2"/>
      <c r="AK865" s="2"/>
      <c r="AL865" s="2" t="s">
        <v>2926</v>
      </c>
      <c r="AM865" s="16" t="s">
        <v>3277</v>
      </c>
      <c r="AN865" s="2"/>
      <c r="AO865" s="2" t="s">
        <v>3151</v>
      </c>
      <c r="AP865" s="2"/>
      <c r="AQ865" s="2"/>
      <c r="AR865" s="16" t="s">
        <v>3278</v>
      </c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</row>
    <row r="866" spans="2:58" ht="17.25" customHeight="1">
      <c r="C866" s="1">
        <v>43949</v>
      </c>
      <c r="E866" s="2" t="s">
        <v>2964</v>
      </c>
      <c r="F866" s="2"/>
      <c r="G866" s="2" t="s">
        <v>2970</v>
      </c>
      <c r="H866" s="2" t="s">
        <v>2971</v>
      </c>
      <c r="I866" s="2"/>
      <c r="J866" s="2">
        <v>1</v>
      </c>
      <c r="K866" s="2"/>
      <c r="L866" s="3">
        <v>83.5</v>
      </c>
      <c r="M866" s="3">
        <v>8.35</v>
      </c>
      <c r="N866" s="3">
        <v>4.32</v>
      </c>
      <c r="O866" s="3">
        <f>6.89</f>
        <v>6.89</v>
      </c>
      <c r="P866" s="3">
        <f>7.93-7.93</f>
        <v>0</v>
      </c>
      <c r="Q866" s="6">
        <f t="shared" si="1892"/>
        <v>70.830000000000013</v>
      </c>
      <c r="R866" s="3"/>
      <c r="S866" s="3">
        <v>65.19</v>
      </c>
      <c r="T866" s="3">
        <v>6.19</v>
      </c>
      <c r="U866" s="3"/>
      <c r="V866" s="3"/>
      <c r="W866" s="3">
        <f>6.51+0.62</f>
        <v>7.13</v>
      </c>
      <c r="X866" s="2">
        <f t="shared" si="1893"/>
        <v>64.25</v>
      </c>
      <c r="Y866" s="6">
        <f t="shared" si="1894"/>
        <v>6.5800000000000125</v>
      </c>
      <c r="Z866" s="2"/>
      <c r="AA866" s="6">
        <f>+Y866</f>
        <v>6.5800000000000125</v>
      </c>
      <c r="AB866" s="2"/>
      <c r="AC866" s="3"/>
      <c r="AD866" s="2"/>
      <c r="AE866" s="2"/>
      <c r="AF866" s="2"/>
      <c r="AG866" s="2"/>
      <c r="AH866" s="2" t="s">
        <v>2973</v>
      </c>
      <c r="AI866" s="2" t="s">
        <v>2972</v>
      </c>
      <c r="AJ866" s="2"/>
      <c r="AK866" s="2"/>
      <c r="AL866" s="2" t="s">
        <v>3071</v>
      </c>
      <c r="AM866" s="16" t="s">
        <v>3507</v>
      </c>
      <c r="AN866" s="2"/>
      <c r="AO866" s="2" t="s">
        <v>3454</v>
      </c>
      <c r="AP866" s="2"/>
      <c r="AQ866" s="2"/>
      <c r="AR866" s="16" t="s">
        <v>3453</v>
      </c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</row>
    <row r="867" spans="2:58" ht="17.25" customHeight="1">
      <c r="C867" s="1">
        <v>43949</v>
      </c>
      <c r="E867" s="2" t="s">
        <v>2965</v>
      </c>
      <c r="F867" s="2"/>
      <c r="G867" s="2" t="s">
        <v>3014</v>
      </c>
      <c r="H867" s="2" t="s">
        <v>3015</v>
      </c>
      <c r="I867" s="2"/>
      <c r="J867" s="2">
        <v>1</v>
      </c>
      <c r="K867" s="2"/>
      <c r="L867" s="3">
        <v>23.5</v>
      </c>
      <c r="M867" s="3">
        <v>2.35</v>
      </c>
      <c r="N867" s="3">
        <v>1.41</v>
      </c>
      <c r="O867" s="3"/>
      <c r="P867" s="3">
        <f>1.71-1.71</f>
        <v>0</v>
      </c>
      <c r="Q867" s="6">
        <f t="shared" si="1892"/>
        <v>19.739999999999998</v>
      </c>
      <c r="R867" s="3"/>
      <c r="S867" s="3">
        <v>22.95</v>
      </c>
      <c r="T867" s="3">
        <v>1.1599999999999999</v>
      </c>
      <c r="U867" s="3"/>
      <c r="V867" s="3"/>
      <c r="W867" s="3"/>
      <c r="X867" s="2">
        <f t="shared" ref="X867" si="1895">+S867+T867++U867+V867-W867</f>
        <v>24.11</v>
      </c>
      <c r="Y867" s="6">
        <f t="shared" ref="Y867" si="1896">+Q867-X867</f>
        <v>-4.370000000000001</v>
      </c>
      <c r="Z867" s="2"/>
      <c r="AA867" s="2"/>
      <c r="AB867" s="2"/>
      <c r="AC867" s="3"/>
      <c r="AD867" s="2"/>
      <c r="AE867" s="2"/>
      <c r="AF867" s="2"/>
      <c r="AG867" s="2"/>
      <c r="AH867" s="2" t="s">
        <v>3013</v>
      </c>
      <c r="AI867" s="2" t="s">
        <v>3012</v>
      </c>
      <c r="AJ867" s="2"/>
      <c r="AK867" s="2"/>
      <c r="AL867" s="2" t="s">
        <v>2926</v>
      </c>
      <c r="AM867" s="16" t="s">
        <v>3693</v>
      </c>
      <c r="AN867" s="2"/>
      <c r="AO867" s="2" t="s">
        <v>3590</v>
      </c>
      <c r="AP867" s="2" t="s">
        <v>3591</v>
      </c>
      <c r="AQ867" s="2"/>
      <c r="AR867" s="16" t="s">
        <v>3518</v>
      </c>
      <c r="AS867" s="2" t="s">
        <v>2926</v>
      </c>
      <c r="AT867" s="16" t="s">
        <v>3635</v>
      </c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</row>
    <row r="868" spans="2:58" ht="17.25" customHeight="1">
      <c r="C868" s="1">
        <v>43949</v>
      </c>
      <c r="E868" s="2" t="s">
        <v>393</v>
      </c>
      <c r="F868" s="2"/>
      <c r="G868" s="2" t="s">
        <v>2950</v>
      </c>
      <c r="H868" s="2" t="s">
        <v>2951</v>
      </c>
      <c r="I868" s="2"/>
      <c r="J868" s="2">
        <v>1</v>
      </c>
      <c r="K868" s="2"/>
      <c r="L868" s="3">
        <v>54.25</v>
      </c>
      <c r="M868" s="3">
        <v>5.42</v>
      </c>
      <c r="N868" s="3">
        <v>2.78</v>
      </c>
      <c r="O868" s="3">
        <v>0</v>
      </c>
      <c r="P868" s="3">
        <f>2.01-2.01</f>
        <v>0</v>
      </c>
      <c r="Q868" s="6">
        <f t="shared" ref="Q868:Q869" si="1897">+L868-M868-N868+P868</f>
        <v>46.05</v>
      </c>
      <c r="R868" s="3"/>
      <c r="S868" s="3">
        <v>36.99</v>
      </c>
      <c r="T868" s="3">
        <v>1.37</v>
      </c>
      <c r="U868" s="3"/>
      <c r="V868" s="3">
        <v>0</v>
      </c>
      <c r="W868" s="3"/>
      <c r="X868" s="2">
        <f t="shared" ref="X868:X869" si="1898">+S868+T868++U868+V868-W868</f>
        <v>38.36</v>
      </c>
      <c r="Y868" s="6">
        <f t="shared" ref="Y868:Y869" si="1899">+Q868-X868</f>
        <v>7.6899999999999977</v>
      </c>
      <c r="Z868" s="2"/>
      <c r="AA868" s="2"/>
      <c r="AB868" s="2"/>
      <c r="AC868" s="3"/>
      <c r="AD868" s="2"/>
      <c r="AE868" s="2"/>
      <c r="AF868" s="2"/>
      <c r="AG868" s="2"/>
      <c r="AH868" s="2" t="s">
        <v>2953</v>
      </c>
      <c r="AI868" s="2" t="s">
        <v>2952</v>
      </c>
      <c r="AJ868" s="2"/>
      <c r="AK868" s="2"/>
      <c r="AL868" s="2" t="s">
        <v>2922</v>
      </c>
      <c r="AM868" s="16" t="s">
        <v>3690</v>
      </c>
      <c r="AN868" s="2"/>
      <c r="AO868" s="2" t="s">
        <v>3099</v>
      </c>
      <c r="AP868" s="2" t="s">
        <v>2934</v>
      </c>
      <c r="AQ868" s="2"/>
      <c r="AR868" s="16" t="s">
        <v>3313</v>
      </c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</row>
    <row r="869" spans="2:58" ht="17.25" customHeight="1">
      <c r="C869" s="1">
        <v>43949</v>
      </c>
      <c r="E869" s="2" t="s">
        <v>2613</v>
      </c>
      <c r="F869" s="2"/>
      <c r="G869" s="2" t="s">
        <v>2954</v>
      </c>
      <c r="H869" s="2" t="s">
        <v>4322</v>
      </c>
      <c r="I869" s="2"/>
      <c r="J869" s="2">
        <v>1</v>
      </c>
      <c r="K869" s="2"/>
      <c r="L869" s="3">
        <v>70.75</v>
      </c>
      <c r="M869" s="3">
        <v>7.07</v>
      </c>
      <c r="N869" s="3">
        <v>3.41</v>
      </c>
      <c r="O869" s="3"/>
      <c r="P869" s="3"/>
      <c r="Q869" s="6">
        <f t="shared" si="1897"/>
        <v>60.269999999999996</v>
      </c>
      <c r="R869" s="3"/>
      <c r="S869" s="3">
        <v>49</v>
      </c>
      <c r="T869" s="3">
        <v>5.64</v>
      </c>
      <c r="U869" s="3"/>
      <c r="V869" s="3"/>
      <c r="W869" s="3"/>
      <c r="X869" s="2">
        <f t="shared" si="1898"/>
        <v>54.64</v>
      </c>
      <c r="Y869" s="6">
        <f t="shared" si="1899"/>
        <v>5.6299999999999955</v>
      </c>
      <c r="Z869" s="2"/>
      <c r="AA869" s="2"/>
      <c r="AB869" s="2"/>
      <c r="AC869" s="3"/>
      <c r="AD869" s="2"/>
      <c r="AE869" s="2"/>
      <c r="AF869" s="2"/>
      <c r="AG869" s="2"/>
      <c r="AH869" s="2" t="s">
        <v>2956</v>
      </c>
      <c r="AI869" s="2" t="s">
        <v>2955</v>
      </c>
      <c r="AJ869" s="2"/>
      <c r="AK869" s="2"/>
      <c r="AL869" s="2" t="s">
        <v>2922</v>
      </c>
      <c r="AM869" s="16" t="s">
        <v>4321</v>
      </c>
      <c r="AN869" s="2"/>
      <c r="AO869" s="2" t="s">
        <v>3017</v>
      </c>
      <c r="AP869" s="2"/>
      <c r="AQ869" s="2"/>
      <c r="AR869" s="16" t="s">
        <v>3269</v>
      </c>
      <c r="AS869" s="16" t="s">
        <v>4194</v>
      </c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</row>
    <row r="870" spans="2:58" ht="17.25" customHeight="1">
      <c r="C870" s="1">
        <v>43949</v>
      </c>
      <c r="E870" s="2" t="s">
        <v>393</v>
      </c>
      <c r="F870" s="2"/>
      <c r="G870" s="2" t="s">
        <v>2946</v>
      </c>
      <c r="H870" s="2" t="s">
        <v>2947</v>
      </c>
      <c r="I870" s="2"/>
      <c r="J870" s="2">
        <v>1</v>
      </c>
      <c r="K870" s="2"/>
      <c r="L870" s="3">
        <v>54.25</v>
      </c>
      <c r="M870" s="3">
        <v>5.42</v>
      </c>
      <c r="N870" s="3">
        <v>2.93</v>
      </c>
      <c r="O870" s="3">
        <v>0</v>
      </c>
      <c r="P870" s="3">
        <v>5.43</v>
      </c>
      <c r="Q870" s="6">
        <f t="shared" ref="Q870" si="1900">+L870-M870-N870+P870</f>
        <v>51.33</v>
      </c>
      <c r="R870" s="3"/>
      <c r="S870" s="3">
        <v>36.99</v>
      </c>
      <c r="T870" s="3">
        <v>3.13</v>
      </c>
      <c r="U870" s="3"/>
      <c r="V870" s="3">
        <v>0</v>
      </c>
      <c r="W870" s="3"/>
      <c r="X870" s="2">
        <f t="shared" ref="X870" si="1901">+S870+T870++U870+V870-W870</f>
        <v>40.120000000000005</v>
      </c>
      <c r="Y870" s="6">
        <f t="shared" ref="Y870" si="1902">+Q870-X870</f>
        <v>11.209999999999994</v>
      </c>
      <c r="Z870" s="2"/>
      <c r="AA870" s="2"/>
      <c r="AB870" s="2"/>
      <c r="AC870" s="3"/>
      <c r="AD870" s="2"/>
      <c r="AE870" s="2"/>
      <c r="AF870" s="2"/>
      <c r="AG870" s="2"/>
      <c r="AH870" s="2" t="s">
        <v>2949</v>
      </c>
      <c r="AI870" s="2" t="s">
        <v>2948</v>
      </c>
      <c r="AJ870" s="2"/>
      <c r="AK870" s="2"/>
      <c r="AL870" s="2" t="s">
        <v>2926</v>
      </c>
      <c r="AM870" s="16" t="s">
        <v>3553</v>
      </c>
      <c r="AN870" s="2"/>
      <c r="AO870" s="2" t="s">
        <v>3098</v>
      </c>
      <c r="AP870" s="2" t="s">
        <v>2934</v>
      </c>
      <c r="AQ870" s="2"/>
      <c r="AR870" s="16" t="s">
        <v>3554</v>
      </c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</row>
    <row r="871" spans="2:58" ht="17.25" customHeight="1">
      <c r="C871" s="1">
        <v>43949</v>
      </c>
      <c r="E871" s="2" t="s">
        <v>62</v>
      </c>
      <c r="F871" s="2"/>
      <c r="G871" s="2" t="s">
        <v>2941</v>
      </c>
      <c r="H871" s="2" t="s">
        <v>2942</v>
      </c>
      <c r="I871" s="2"/>
      <c r="J871" s="2">
        <v>1</v>
      </c>
      <c r="K871" s="2"/>
      <c r="L871" s="3">
        <v>54.35</v>
      </c>
      <c r="M871" s="3">
        <v>5.43</v>
      </c>
      <c r="N871" s="3">
        <v>2.69</v>
      </c>
      <c r="O871" s="3">
        <f>5.15</f>
        <v>5.15</v>
      </c>
      <c r="P871" s="3">
        <v>0</v>
      </c>
      <c r="Q871" s="6">
        <f t="shared" ref="Q871" si="1903">+L871-M871-N871+P871</f>
        <v>46.230000000000004</v>
      </c>
      <c r="R871" s="3"/>
      <c r="S871" s="3">
        <v>39.99</v>
      </c>
      <c r="T871" s="3">
        <v>0</v>
      </c>
      <c r="U871" s="3"/>
      <c r="V871" s="3"/>
      <c r="W871" s="3"/>
      <c r="X871" s="2">
        <f t="shared" ref="X871" si="1904">+S871+T871++U871+V871-W871</f>
        <v>39.99</v>
      </c>
      <c r="Y871" s="6">
        <f t="shared" ref="Y871" si="1905">+Q871-X871</f>
        <v>6.240000000000002</v>
      </c>
      <c r="Z871" s="2"/>
      <c r="AA871" s="2"/>
      <c r="AB871" s="2"/>
      <c r="AC871" s="3"/>
      <c r="AD871" s="2"/>
      <c r="AE871" s="2"/>
      <c r="AF871" s="2"/>
      <c r="AG871" s="2"/>
      <c r="AH871" s="2" t="s">
        <v>2944</v>
      </c>
      <c r="AI871" s="2" t="s">
        <v>2943</v>
      </c>
      <c r="AJ871" s="2"/>
      <c r="AK871" s="2"/>
      <c r="AL871" s="2" t="s">
        <v>2922</v>
      </c>
      <c r="AM871" s="16" t="s">
        <v>3456</v>
      </c>
      <c r="AN871" s="2"/>
      <c r="AO871" s="2" t="s">
        <v>3255</v>
      </c>
      <c r="AP871" s="2"/>
      <c r="AQ871" s="2"/>
      <c r="AR871" s="16" t="s">
        <v>3457</v>
      </c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</row>
    <row r="872" spans="2:58" ht="17.25" customHeight="1">
      <c r="B872" s="45" t="s">
        <v>1370</v>
      </c>
      <c r="C872" s="1">
        <v>43949</v>
      </c>
      <c r="E872" s="2" t="s">
        <v>1502</v>
      </c>
      <c r="F872" s="2"/>
      <c r="G872" s="2" t="s">
        <v>2937</v>
      </c>
      <c r="H872" s="2" t="s">
        <v>2938</v>
      </c>
      <c r="I872" s="2"/>
      <c r="J872" s="2">
        <v>1</v>
      </c>
      <c r="K872" s="2"/>
      <c r="L872" s="3">
        <v>19.600000000000001</v>
      </c>
      <c r="M872" s="3">
        <v>1.96</v>
      </c>
      <c r="N872" s="3">
        <v>1.22</v>
      </c>
      <c r="O872" s="3">
        <f>1.18</f>
        <v>1.18</v>
      </c>
      <c r="P872" s="3">
        <v>1.37</v>
      </c>
      <c r="Q872" s="6">
        <f>+L872-M872-N872+P872</f>
        <v>17.790000000000003</v>
      </c>
      <c r="R872" s="3"/>
      <c r="S872" s="3">
        <v>11.89</v>
      </c>
      <c r="T872" s="3">
        <v>0.72</v>
      </c>
      <c r="U872" s="3">
        <v>0</v>
      </c>
      <c r="V872" s="3"/>
      <c r="W872" s="3"/>
      <c r="X872" s="2">
        <f>+S872+T872++U872+V872-W872</f>
        <v>12.610000000000001</v>
      </c>
      <c r="Y872" s="6">
        <f>+Q872-X872</f>
        <v>5.1800000000000015</v>
      </c>
      <c r="Z872" s="2"/>
      <c r="AA872" s="2"/>
      <c r="AB872" s="2"/>
      <c r="AC872" s="3"/>
      <c r="AD872" s="2"/>
      <c r="AE872" s="2"/>
      <c r="AF872" s="2"/>
      <c r="AG872" s="2"/>
      <c r="AH872" s="2" t="s">
        <v>2940</v>
      </c>
      <c r="AI872" s="2" t="s">
        <v>2939</v>
      </c>
      <c r="AJ872" s="2"/>
      <c r="AK872" s="2"/>
      <c r="AL872" s="2" t="s">
        <v>3246</v>
      </c>
      <c r="AM872" s="2" t="s">
        <v>3245</v>
      </c>
      <c r="AN872" s="2"/>
      <c r="AO872" s="16" t="s">
        <v>3243</v>
      </c>
      <c r="AP872" s="2" t="s">
        <v>3244</v>
      </c>
      <c r="AQ872" s="2"/>
      <c r="AR872" s="16" t="s">
        <v>3230</v>
      </c>
      <c r="AS872" s="16" t="s">
        <v>6748</v>
      </c>
      <c r="AT872" s="2" t="s">
        <v>6303</v>
      </c>
      <c r="AU872" s="2" t="s">
        <v>6187</v>
      </c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</row>
    <row r="873" spans="2:58" ht="17.25" customHeight="1">
      <c r="C873" s="1">
        <v>43948</v>
      </c>
      <c r="E873" s="2" t="s">
        <v>1559</v>
      </c>
      <c r="F873" s="2"/>
      <c r="G873" s="2" t="s">
        <v>2904</v>
      </c>
      <c r="H873" s="2" t="s">
        <v>2905</v>
      </c>
      <c r="I873" s="2"/>
      <c r="J873" s="2">
        <v>1</v>
      </c>
      <c r="K873" s="2"/>
      <c r="L873" s="3">
        <v>83.5</v>
      </c>
      <c r="M873" s="3">
        <v>8.35</v>
      </c>
      <c r="N873" s="3">
        <v>4.2300000000000004</v>
      </c>
      <c r="O873" s="3">
        <f>6.89</f>
        <v>6.89</v>
      </c>
      <c r="P873" s="3">
        <f>5.85-5.85</f>
        <v>0</v>
      </c>
      <c r="Q873" s="6">
        <f t="shared" ref="Q873" si="1906">+L873-M873-N873+P873</f>
        <v>70.92</v>
      </c>
      <c r="R873" s="3"/>
      <c r="S873" s="3">
        <v>65.19</v>
      </c>
      <c r="T873" s="3">
        <v>4.5599999999999996</v>
      </c>
      <c r="U873" s="3"/>
      <c r="V873" s="3"/>
      <c r="W873" s="3">
        <f>6.51+0.45</f>
        <v>6.96</v>
      </c>
      <c r="X873" s="2">
        <f t="shared" ref="X873" si="1907">+S873+T873++U873+V873-W873</f>
        <v>62.79</v>
      </c>
      <c r="Y873" s="6">
        <f t="shared" ref="Y873" si="1908">+Q873-X873</f>
        <v>8.1300000000000026</v>
      </c>
      <c r="Z873" s="2"/>
      <c r="AA873" s="6">
        <f>+Y873</f>
        <v>8.1300000000000026</v>
      </c>
      <c r="AB873" s="2"/>
      <c r="AC873" s="3"/>
      <c r="AD873" s="2"/>
      <c r="AE873" s="2"/>
      <c r="AF873" s="2"/>
      <c r="AG873" s="2"/>
      <c r="AH873" s="2" t="s">
        <v>2907</v>
      </c>
      <c r="AI873" s="2" t="s">
        <v>2906</v>
      </c>
      <c r="AJ873" s="2"/>
      <c r="AK873" s="2"/>
      <c r="AL873" s="2" t="s">
        <v>2926</v>
      </c>
      <c r="AM873" s="16" t="s">
        <v>3506</v>
      </c>
      <c r="AN873" s="2"/>
      <c r="AO873" s="2" t="s">
        <v>3452</v>
      </c>
      <c r="AP873" s="2"/>
      <c r="AQ873" s="2"/>
      <c r="AR873" s="16" t="s">
        <v>3453</v>
      </c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</row>
    <row r="874" spans="2:58" ht="17.25" customHeight="1">
      <c r="C874" s="1">
        <v>43948</v>
      </c>
      <c r="E874" s="2" t="s">
        <v>393</v>
      </c>
      <c r="F874" s="2"/>
      <c r="G874" s="2" t="s">
        <v>2900</v>
      </c>
      <c r="H874" s="2" t="s">
        <v>2901</v>
      </c>
      <c r="I874" s="2"/>
      <c r="J874" s="2">
        <v>1</v>
      </c>
      <c r="K874" s="2"/>
      <c r="L874" s="3">
        <v>54.25</v>
      </c>
      <c r="M874" s="3">
        <v>5.42</v>
      </c>
      <c r="N874" s="3">
        <v>2.85</v>
      </c>
      <c r="O874" s="3">
        <v>0</v>
      </c>
      <c r="P874" s="3">
        <v>3.89</v>
      </c>
      <c r="Q874" s="6">
        <f t="shared" ref="Q874" si="1909">+L874-M874-N874+P874</f>
        <v>49.87</v>
      </c>
      <c r="R874" s="3"/>
      <c r="S874" s="3">
        <v>34.020000000000003</v>
      </c>
      <c r="T874" s="3">
        <v>2.44</v>
      </c>
      <c r="U874" s="3"/>
      <c r="V874" s="3">
        <v>0</v>
      </c>
      <c r="W874" s="3"/>
      <c r="X874" s="2">
        <f t="shared" ref="X874" si="1910">+S874+T874++U874+V874-W874</f>
        <v>36.46</v>
      </c>
      <c r="Y874" s="6">
        <f t="shared" ref="Y874" si="1911">+Q874-X874</f>
        <v>13.409999999999997</v>
      </c>
      <c r="Z874" s="2"/>
      <c r="AA874" s="2"/>
      <c r="AB874" s="2"/>
      <c r="AC874" s="3"/>
      <c r="AD874" s="2"/>
      <c r="AE874" s="2"/>
      <c r="AF874" s="2"/>
      <c r="AG874" s="2"/>
      <c r="AH874" s="2" t="s">
        <v>2903</v>
      </c>
      <c r="AI874" s="2" t="s">
        <v>2902</v>
      </c>
      <c r="AJ874" s="2"/>
      <c r="AK874" s="2"/>
      <c r="AL874" s="2" t="s">
        <v>2926</v>
      </c>
      <c r="AM874" s="16" t="s">
        <v>4414</v>
      </c>
      <c r="AN874" s="2"/>
      <c r="AO874" s="2" t="s">
        <v>2936</v>
      </c>
      <c r="AP874" s="2" t="s">
        <v>2934</v>
      </c>
      <c r="AQ874" s="2"/>
      <c r="AR874" s="16" t="s">
        <v>4415</v>
      </c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</row>
    <row r="875" spans="2:58" ht="17.25" customHeight="1">
      <c r="C875" s="1">
        <v>43948</v>
      </c>
      <c r="E875" s="2" t="s">
        <v>2613</v>
      </c>
      <c r="F875" s="2"/>
      <c r="G875" s="2" t="s">
        <v>2876</v>
      </c>
      <c r="H875" s="2" t="s">
        <v>3267</v>
      </c>
      <c r="I875" s="2"/>
      <c r="J875" s="2">
        <v>1</v>
      </c>
      <c r="K875" s="2"/>
      <c r="L875" s="3">
        <v>69.75</v>
      </c>
      <c r="M875" s="3">
        <v>6.97</v>
      </c>
      <c r="N875" s="3">
        <v>3.37</v>
      </c>
      <c r="O875" s="3"/>
      <c r="P875" s="3"/>
      <c r="Q875" s="6">
        <f t="shared" ref="Q875:Q877" si="1912">+L875-M875-N875+P875</f>
        <v>59.410000000000004</v>
      </c>
      <c r="R875" s="3"/>
      <c r="S875" s="3">
        <v>49</v>
      </c>
      <c r="T875" s="3">
        <v>5.64</v>
      </c>
      <c r="U875" s="3"/>
      <c r="V875" s="3"/>
      <c r="W875" s="3"/>
      <c r="X875" s="2">
        <f t="shared" ref="X875:X877" si="1913">+S875+T875++U875+V875-W875</f>
        <v>54.64</v>
      </c>
      <c r="Y875" s="6">
        <f t="shared" ref="Y875:Y877" si="1914">+Q875-X875</f>
        <v>4.7700000000000031</v>
      </c>
      <c r="Z875" s="2"/>
      <c r="AA875" s="2"/>
      <c r="AB875" s="2"/>
      <c r="AC875" s="3"/>
      <c r="AD875" s="2"/>
      <c r="AE875" s="2"/>
      <c r="AF875" s="2"/>
      <c r="AG875" s="2"/>
      <c r="AH875" s="2" t="s">
        <v>2878</v>
      </c>
      <c r="AI875" s="2" t="s">
        <v>2877</v>
      </c>
      <c r="AJ875" s="2"/>
      <c r="AK875" s="2"/>
      <c r="AL875" s="2" t="s">
        <v>2922</v>
      </c>
      <c r="AM875" s="16" t="s">
        <v>4333</v>
      </c>
      <c r="AN875" s="2"/>
      <c r="AO875" s="2" t="s">
        <v>3268</v>
      </c>
      <c r="AP875" s="2" t="s">
        <v>2934</v>
      </c>
      <c r="AQ875" s="2"/>
      <c r="AR875" s="16" t="s">
        <v>3269</v>
      </c>
      <c r="AS875" s="16" t="s">
        <v>4194</v>
      </c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</row>
    <row r="876" spans="2:58" ht="17.25" customHeight="1">
      <c r="C876" s="1">
        <v>43948</v>
      </c>
      <c r="E876" s="2" t="s">
        <v>1952</v>
      </c>
      <c r="F876" s="2"/>
      <c r="G876" s="2" t="s">
        <v>2888</v>
      </c>
      <c r="H876" s="2" t="s">
        <v>2889</v>
      </c>
      <c r="I876" s="2"/>
      <c r="J876" s="2">
        <v>1</v>
      </c>
      <c r="K876" s="2"/>
      <c r="L876" s="3">
        <v>18.2</v>
      </c>
      <c r="M876" s="3">
        <v>1.82</v>
      </c>
      <c r="N876" s="3">
        <v>1.17</v>
      </c>
      <c r="O876" s="3">
        <v>0</v>
      </c>
      <c r="P876" s="3">
        <f>1.59-1.59</f>
        <v>0</v>
      </c>
      <c r="Q876" s="6">
        <f t="shared" si="1912"/>
        <v>15.209999999999999</v>
      </c>
      <c r="R876" s="3"/>
      <c r="S876" s="3">
        <v>12.3</v>
      </c>
      <c r="T876" s="3">
        <v>1.08</v>
      </c>
      <c r="U876" s="3"/>
      <c r="V876" s="3"/>
      <c r="W876" s="3">
        <v>1.23</v>
      </c>
      <c r="X876" s="2">
        <f t="shared" si="1913"/>
        <v>12.15</v>
      </c>
      <c r="Y876" s="6">
        <f t="shared" si="1914"/>
        <v>3.0599999999999987</v>
      </c>
      <c r="Z876" s="2"/>
      <c r="AA876" s="2"/>
      <c r="AB876" s="2"/>
      <c r="AC876" s="3"/>
      <c r="AD876" s="2"/>
      <c r="AE876" s="2"/>
      <c r="AF876" s="2"/>
      <c r="AG876" s="2"/>
      <c r="AH876" s="2" t="s">
        <v>2878</v>
      </c>
      <c r="AI876" s="2" t="s">
        <v>2877</v>
      </c>
      <c r="AJ876" s="2"/>
      <c r="AK876" s="2"/>
      <c r="AL876" s="2" t="s">
        <v>3224</v>
      </c>
      <c r="AM876" s="2" t="s">
        <v>3410</v>
      </c>
      <c r="AN876" s="2"/>
      <c r="AO876" s="2" t="s">
        <v>3065</v>
      </c>
      <c r="AP876" s="2"/>
      <c r="AQ876" s="2"/>
      <c r="AR876" s="16" t="s">
        <v>3313</v>
      </c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</row>
    <row r="877" spans="2:58" ht="17.25" customHeight="1">
      <c r="C877" s="1">
        <v>43948</v>
      </c>
      <c r="E877" s="2" t="s">
        <v>393</v>
      </c>
      <c r="F877" s="2"/>
      <c r="G877" s="2" t="s">
        <v>2892</v>
      </c>
      <c r="H877" s="2" t="s">
        <v>2893</v>
      </c>
      <c r="I877" s="2"/>
      <c r="J877" s="2">
        <v>1</v>
      </c>
      <c r="K877" s="2"/>
      <c r="L877" s="3">
        <v>53.95</v>
      </c>
      <c r="M877" s="3">
        <v>5.39</v>
      </c>
      <c r="N877" s="3">
        <v>2.84</v>
      </c>
      <c r="O877" s="3">
        <v>0</v>
      </c>
      <c r="P877" s="3">
        <v>3.78</v>
      </c>
      <c r="Q877" s="6">
        <f t="shared" si="1912"/>
        <v>49.5</v>
      </c>
      <c r="R877" s="3"/>
      <c r="S877" s="3">
        <v>34.020000000000003</v>
      </c>
      <c r="T877" s="3">
        <v>2.38</v>
      </c>
      <c r="U877" s="3"/>
      <c r="V877" s="3">
        <v>0</v>
      </c>
      <c r="W877" s="3"/>
      <c r="X877" s="2">
        <f t="shared" si="1913"/>
        <v>36.400000000000006</v>
      </c>
      <c r="Y877" s="6">
        <f t="shared" si="1914"/>
        <v>13.099999999999994</v>
      </c>
      <c r="Z877" s="2"/>
      <c r="AA877" s="2"/>
      <c r="AB877" s="2"/>
      <c r="AC877" s="3"/>
      <c r="AD877" s="2"/>
      <c r="AE877" s="2"/>
      <c r="AF877" s="2"/>
      <c r="AG877" s="2"/>
      <c r="AH877" s="2" t="s">
        <v>2895</v>
      </c>
      <c r="AI877" s="2" t="s">
        <v>2894</v>
      </c>
      <c r="AJ877" s="2"/>
      <c r="AK877" s="2"/>
      <c r="AL877" s="2" t="s">
        <v>2922</v>
      </c>
      <c r="AM877" s="2" t="s">
        <v>3097</v>
      </c>
      <c r="AN877" s="2"/>
      <c r="AO877" s="2" t="s">
        <v>2935</v>
      </c>
      <c r="AP877" s="2" t="s">
        <v>2934</v>
      </c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</row>
    <row r="878" spans="2:58" ht="17.25" customHeight="1">
      <c r="C878" s="1">
        <v>43948</v>
      </c>
      <c r="E878" s="2" t="s">
        <v>393</v>
      </c>
      <c r="F878" s="2"/>
      <c r="G878" s="2" t="s">
        <v>4413</v>
      </c>
      <c r="H878" s="2" t="s">
        <v>2932</v>
      </c>
      <c r="I878" s="2"/>
      <c r="J878" s="2">
        <v>1</v>
      </c>
      <c r="K878" s="2"/>
      <c r="L878" s="3">
        <v>53.95</v>
      </c>
      <c r="M878" s="3">
        <v>5.39</v>
      </c>
      <c r="N878" s="3">
        <v>2.67</v>
      </c>
      <c r="O878" s="3">
        <v>0</v>
      </c>
      <c r="P878" s="3">
        <v>0</v>
      </c>
      <c r="Q878" s="6">
        <f t="shared" ref="Q878" si="1915">+L878-M878-N878+P878</f>
        <v>45.89</v>
      </c>
      <c r="R878" s="3"/>
      <c r="S878" s="3">
        <v>34.020000000000003</v>
      </c>
      <c r="T878" s="3">
        <v>3.74</v>
      </c>
      <c r="U878" s="3"/>
      <c r="V878" s="3">
        <v>0</v>
      </c>
      <c r="W878" s="3"/>
      <c r="X878" s="2">
        <f t="shared" ref="X878" si="1916">+S878+T878++U878+V878-W878</f>
        <v>37.760000000000005</v>
      </c>
      <c r="Y878" s="6">
        <f t="shared" ref="Y878" si="1917">+Q878-X878</f>
        <v>8.1299999999999955</v>
      </c>
      <c r="Z878" s="2"/>
      <c r="AA878" s="2"/>
      <c r="AB878" s="2"/>
      <c r="AC878" s="3"/>
      <c r="AD878" s="2"/>
      <c r="AE878" s="2"/>
      <c r="AF878" s="2"/>
      <c r="AG878" s="2"/>
      <c r="AH878" s="2" t="s">
        <v>2897</v>
      </c>
      <c r="AI878" s="2" t="s">
        <v>2896</v>
      </c>
      <c r="AJ878" s="2"/>
      <c r="AK878" s="2"/>
      <c r="AL878" s="2" t="s">
        <v>745</v>
      </c>
      <c r="AM878" s="2" t="s">
        <v>4708</v>
      </c>
      <c r="AN878" s="2"/>
      <c r="AO878" s="2" t="s">
        <v>2933</v>
      </c>
      <c r="AP878" s="2" t="s">
        <v>2934</v>
      </c>
      <c r="AQ878" s="2"/>
      <c r="AR878" s="16" t="s">
        <v>4338</v>
      </c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</row>
    <row r="879" spans="2:58" ht="17.25" customHeight="1">
      <c r="C879" s="1">
        <v>43948</v>
      </c>
      <c r="E879" s="2" t="s">
        <v>1305</v>
      </c>
      <c r="F879" s="2"/>
      <c r="G879" s="2" t="s">
        <v>2908</v>
      </c>
      <c r="H879" s="2" t="s">
        <v>2909</v>
      </c>
      <c r="I879" s="2"/>
      <c r="J879" s="2">
        <v>1</v>
      </c>
      <c r="K879" s="2"/>
      <c r="L879" s="3">
        <v>26.9</v>
      </c>
      <c r="M879" s="3">
        <v>2.69</v>
      </c>
      <c r="N879" s="3">
        <v>1.58</v>
      </c>
      <c r="O879" s="3"/>
      <c r="P879" s="3">
        <f>2.15-2.15</f>
        <v>0</v>
      </c>
      <c r="Q879" s="6">
        <f t="shared" ref="Q879:Q880" si="1918">+L879-M879-N879+P879</f>
        <v>22.629999999999995</v>
      </c>
      <c r="R879" s="3"/>
      <c r="S879" s="3">
        <v>17.52</v>
      </c>
      <c r="T879" s="3">
        <v>1.4</v>
      </c>
      <c r="U879" s="3"/>
      <c r="V879" s="3"/>
      <c r="W879" s="3"/>
      <c r="X879" s="2">
        <f t="shared" ref="X879" si="1919">+S879+T879++U879+V879-W879</f>
        <v>18.919999999999998</v>
      </c>
      <c r="Y879" s="6">
        <f t="shared" ref="Y879" si="1920">+Q879-X879</f>
        <v>3.7099999999999973</v>
      </c>
      <c r="Z879" s="2"/>
      <c r="AA879" s="2"/>
      <c r="AB879" s="2"/>
      <c r="AC879" s="3"/>
      <c r="AD879" s="2"/>
      <c r="AE879" s="2"/>
      <c r="AF879" s="2"/>
      <c r="AG879" s="2"/>
      <c r="AH879" s="2" t="s">
        <v>2911</v>
      </c>
      <c r="AI879" s="2" t="s">
        <v>2910</v>
      </c>
      <c r="AJ879" s="2"/>
      <c r="AK879" s="2"/>
      <c r="AL879" s="2" t="s">
        <v>2926</v>
      </c>
      <c r="AM879" s="16" t="s">
        <v>3782</v>
      </c>
      <c r="AN879" s="2"/>
      <c r="AO879" s="2" t="s">
        <v>3218</v>
      </c>
      <c r="AR879" s="19" t="s">
        <v>3219</v>
      </c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</row>
    <row r="880" spans="2:58" ht="17.25" customHeight="1">
      <c r="C880" s="1">
        <v>43948</v>
      </c>
      <c r="E880" s="2" t="s">
        <v>393</v>
      </c>
      <c r="F880" s="2"/>
      <c r="G880" t="s">
        <v>2890</v>
      </c>
      <c r="H880" t="s">
        <v>2891</v>
      </c>
      <c r="I880" s="2"/>
      <c r="J880" s="2">
        <v>0</v>
      </c>
      <c r="K880" s="2"/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6">
        <f t="shared" si="1918"/>
        <v>0</v>
      </c>
      <c r="R880" s="3"/>
      <c r="S880" s="3">
        <v>0</v>
      </c>
      <c r="T880" s="3">
        <v>0</v>
      </c>
      <c r="U880" s="3"/>
      <c r="V880" s="3">
        <v>0</v>
      </c>
      <c r="W880" s="3"/>
      <c r="X880" s="2">
        <f t="shared" ref="X880" si="1921">+S880+T880++U880+V880-W880</f>
        <v>0</v>
      </c>
      <c r="Y880" s="6">
        <f t="shared" ref="Y880" si="1922">+Q880-X880</f>
        <v>0</v>
      </c>
      <c r="Z880" s="2"/>
      <c r="AA880" s="2"/>
      <c r="AB880" s="2"/>
      <c r="AC880" s="3"/>
      <c r="AD880" s="2"/>
      <c r="AE880" s="2"/>
      <c r="AF880" s="2"/>
      <c r="AG880" s="2"/>
      <c r="AH880" s="2" t="s">
        <v>2899</v>
      </c>
      <c r="AI880" s="2" t="s">
        <v>2898</v>
      </c>
      <c r="AJ880" s="2"/>
      <c r="AK880" s="2"/>
      <c r="AL880" s="2"/>
      <c r="AM880" s="2" t="s">
        <v>3242</v>
      </c>
      <c r="AN880" s="2"/>
      <c r="AO880" s="2" t="s">
        <v>3242</v>
      </c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</row>
    <row r="881" spans="3:58" ht="17.25" customHeight="1">
      <c r="C881" s="1">
        <v>43948</v>
      </c>
      <c r="E881" s="2" t="s">
        <v>1952</v>
      </c>
      <c r="F881" s="2"/>
      <c r="G881" s="2" t="s">
        <v>2883</v>
      </c>
      <c r="H881" s="2" t="s">
        <v>2884</v>
      </c>
      <c r="I881" s="2"/>
      <c r="J881" s="2">
        <v>1</v>
      </c>
      <c r="K881" s="2" t="s">
        <v>2887</v>
      </c>
      <c r="L881" s="3">
        <v>18.2</v>
      </c>
      <c r="M881" s="3">
        <v>1.82</v>
      </c>
      <c r="N881" s="3">
        <v>1.1599999999999999</v>
      </c>
      <c r="O881" s="3">
        <f>1.27</f>
        <v>1.27</v>
      </c>
      <c r="P881" s="3">
        <f>1.27-1.27</f>
        <v>0</v>
      </c>
      <c r="Q881" s="6">
        <f t="shared" ref="Q881:Q882" si="1923">+L881-M881-N881+P881</f>
        <v>15.219999999999999</v>
      </c>
      <c r="R881" s="3"/>
      <c r="S881" s="3">
        <v>12.3</v>
      </c>
      <c r="T881" s="3">
        <v>0.85</v>
      </c>
      <c r="U881" s="3"/>
      <c r="V881" s="3"/>
      <c r="W881" s="3">
        <v>1.23</v>
      </c>
      <c r="X881" s="2">
        <f t="shared" ref="X881" si="1924">+S881+T881++U881+V881-W881</f>
        <v>11.92</v>
      </c>
      <c r="Y881" s="6">
        <f t="shared" ref="Y881" si="1925">+Q881-X881</f>
        <v>3.2999999999999989</v>
      </c>
      <c r="Z881" s="2"/>
      <c r="AA881" s="2"/>
      <c r="AB881" s="2"/>
      <c r="AC881" s="3"/>
      <c r="AD881" s="2"/>
      <c r="AE881" s="2"/>
      <c r="AF881" s="2"/>
      <c r="AG881" s="2"/>
      <c r="AH881" s="2" t="s">
        <v>2886</v>
      </c>
      <c r="AI881" s="2" t="s">
        <v>2885</v>
      </c>
      <c r="AJ881" s="2"/>
      <c r="AK881" s="2"/>
      <c r="AL881" s="2" t="s">
        <v>2926</v>
      </c>
      <c r="AM881" s="16" t="s">
        <v>3262</v>
      </c>
      <c r="AN881" s="2"/>
      <c r="AO881" s="2" t="s">
        <v>3023</v>
      </c>
      <c r="AP881" s="2"/>
      <c r="AQ881" s="2"/>
      <c r="AR881" s="16" t="s">
        <v>3313</v>
      </c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</row>
    <row r="882" spans="3:58" ht="17.25" customHeight="1">
      <c r="C882" s="1">
        <v>43948</v>
      </c>
      <c r="E882" s="2" t="s">
        <v>62</v>
      </c>
      <c r="F882" s="2"/>
      <c r="G882" s="2" t="s">
        <v>2879</v>
      </c>
      <c r="H882" s="2" t="s">
        <v>2880</v>
      </c>
      <c r="I882" s="2"/>
      <c r="J882" s="2">
        <v>1</v>
      </c>
      <c r="K882" s="2"/>
      <c r="L882" s="3">
        <v>54.25</v>
      </c>
      <c r="M882" s="3">
        <v>5.42</v>
      </c>
      <c r="N882" s="3">
        <v>2.85</v>
      </c>
      <c r="O882" s="3">
        <f>5.15</f>
        <v>5.15</v>
      </c>
      <c r="P882" s="3">
        <v>3.8</v>
      </c>
      <c r="Q882" s="6">
        <f t="shared" si="1923"/>
        <v>49.779999999999994</v>
      </c>
      <c r="R882" s="3"/>
      <c r="S882" s="3">
        <v>39.99</v>
      </c>
      <c r="T882" s="3">
        <v>2.8</v>
      </c>
      <c r="U882" s="3"/>
      <c r="V882" s="3"/>
      <c r="W882" s="3"/>
      <c r="X882" s="2">
        <f t="shared" ref="X882" si="1926">+S882+T882++U882+V882-W882</f>
        <v>42.79</v>
      </c>
      <c r="Y882" s="6">
        <f t="shared" ref="Y882" si="1927">+Q882-X882</f>
        <v>6.9899999999999949</v>
      </c>
      <c r="Z882" s="2"/>
      <c r="AA882" s="2"/>
      <c r="AB882" s="2"/>
      <c r="AC882" s="3"/>
      <c r="AD882" s="2"/>
      <c r="AE882" s="2"/>
      <c r="AF882" s="2"/>
      <c r="AG882" s="2"/>
      <c r="AH882" s="2" t="s">
        <v>2882</v>
      </c>
      <c r="AI882" s="2" t="s">
        <v>2881</v>
      </c>
      <c r="AJ882" s="2"/>
      <c r="AK882" s="2"/>
      <c r="AL882" s="2" t="s">
        <v>2926</v>
      </c>
      <c r="AM882" s="22" t="s">
        <v>3634</v>
      </c>
      <c r="AN882" s="2"/>
      <c r="AO882" s="10" t="s">
        <v>3092</v>
      </c>
      <c r="AP882" s="2"/>
      <c r="AQ882" s="2"/>
      <c r="AR882" s="16" t="s">
        <v>3313</v>
      </c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</row>
    <row r="883" spans="3:58" ht="17.25" customHeight="1">
      <c r="C883" s="1">
        <v>43948</v>
      </c>
      <c r="E883" s="2" t="s">
        <v>2613</v>
      </c>
      <c r="F883" s="2"/>
      <c r="G883" s="2" t="s">
        <v>2871</v>
      </c>
      <c r="H883" s="2" t="s">
        <v>3022</v>
      </c>
      <c r="I883" s="2"/>
      <c r="J883" s="2">
        <v>1</v>
      </c>
      <c r="K883" s="2"/>
      <c r="L883" s="3">
        <v>69.75</v>
      </c>
      <c r="M883" s="3">
        <v>6.97</v>
      </c>
      <c r="N883" s="3">
        <v>3.37</v>
      </c>
      <c r="O883" s="3"/>
      <c r="P883" s="3"/>
      <c r="Q883" s="6">
        <f t="shared" ref="Q883" si="1928">+L883-M883-N883+P883</f>
        <v>59.410000000000004</v>
      </c>
      <c r="R883" s="3"/>
      <c r="S883" s="3">
        <v>49</v>
      </c>
      <c r="T883" s="3">
        <v>5.64</v>
      </c>
      <c r="U883" s="3"/>
      <c r="V883" s="3"/>
      <c r="W883" s="3"/>
      <c r="X883" s="2">
        <f t="shared" ref="X883" si="1929">+S883+T883++U883+V883-W883</f>
        <v>54.64</v>
      </c>
      <c r="Y883" s="6">
        <f t="shared" ref="Y883" si="1930">+Q883-X883</f>
        <v>4.7700000000000031</v>
      </c>
      <c r="Z883" s="2"/>
      <c r="AA883" s="2"/>
      <c r="AB883" s="2"/>
      <c r="AC883" s="3"/>
      <c r="AD883" s="2"/>
      <c r="AE883" s="2"/>
      <c r="AF883" s="2"/>
      <c r="AG883" s="2"/>
      <c r="AH883" s="2" t="s">
        <v>2873</v>
      </c>
      <c r="AI883" s="2" t="s">
        <v>2872</v>
      </c>
      <c r="AJ883" s="2"/>
      <c r="AK883" s="2"/>
      <c r="AL883" s="2" t="s">
        <v>2922</v>
      </c>
      <c r="AM883" s="2" t="s">
        <v>4336</v>
      </c>
      <c r="AN883" s="2"/>
      <c r="AO883" s="2" t="s">
        <v>3060</v>
      </c>
      <c r="AP883" s="2" t="s">
        <v>2934</v>
      </c>
      <c r="AQ883" s="2"/>
      <c r="AR883" s="16" t="s">
        <v>3311</v>
      </c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</row>
    <row r="884" spans="3:58" ht="17.25" customHeight="1">
      <c r="C884" s="1">
        <v>43947</v>
      </c>
      <c r="E884" s="2" t="s">
        <v>2613</v>
      </c>
      <c r="F884" s="2"/>
      <c r="G884" s="2" t="s">
        <v>2866</v>
      </c>
      <c r="H884" s="2" t="s">
        <v>3020</v>
      </c>
      <c r="I884" s="2"/>
      <c r="J884" s="2">
        <v>1</v>
      </c>
      <c r="K884" s="2"/>
      <c r="L884" s="3">
        <v>69.5</v>
      </c>
      <c r="M884" s="3">
        <v>6.95</v>
      </c>
      <c r="N884" s="3">
        <v>3.36</v>
      </c>
      <c r="O884" s="3"/>
      <c r="P884" s="3"/>
      <c r="Q884" s="6">
        <f t="shared" ref="Q884:Q888" si="1931">+L884-M884-N884+P884</f>
        <v>59.19</v>
      </c>
      <c r="R884" s="3"/>
      <c r="S884" s="3">
        <v>49</v>
      </c>
      <c r="T884" s="3">
        <v>2.37</v>
      </c>
      <c r="U884" s="3"/>
      <c r="V884" s="3"/>
      <c r="W884" s="3"/>
      <c r="X884" s="2">
        <f t="shared" ref="X884" si="1932">+S884+T884++U884+V884-W884</f>
        <v>51.37</v>
      </c>
      <c r="Y884" s="6">
        <f t="shared" ref="Y884" si="1933">+Q884-X884</f>
        <v>7.82</v>
      </c>
      <c r="Z884" s="2"/>
      <c r="AA884" s="2"/>
      <c r="AB884" s="2"/>
      <c r="AC884" s="3"/>
      <c r="AD884" s="2"/>
      <c r="AE884" s="2"/>
      <c r="AF884" s="2"/>
      <c r="AG884" s="2"/>
      <c r="AH884" s="2" t="s">
        <v>2875</v>
      </c>
      <c r="AI884" s="2" t="s">
        <v>2874</v>
      </c>
      <c r="AJ884" s="2"/>
      <c r="AK884" s="2"/>
      <c r="AL884" s="2" t="s">
        <v>2922</v>
      </c>
      <c r="AM884" s="16" t="s">
        <v>4326</v>
      </c>
      <c r="AN884" s="2"/>
      <c r="AO884" s="16" t="s">
        <v>3021</v>
      </c>
      <c r="AP884" s="2"/>
      <c r="AQ884" s="2"/>
      <c r="AR884" s="16" t="s">
        <v>3311</v>
      </c>
      <c r="AS884" s="16" t="s">
        <v>4194</v>
      </c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</row>
    <row r="885" spans="3:58" ht="17.25" customHeight="1">
      <c r="C885" s="1">
        <v>43947</v>
      </c>
      <c r="E885" s="2" t="s">
        <v>1646</v>
      </c>
      <c r="F885" s="2"/>
      <c r="G885" s="2" t="s">
        <v>2861</v>
      </c>
      <c r="H885" s="2" t="s">
        <v>2917</v>
      </c>
      <c r="I885" s="2"/>
      <c r="J885" s="2">
        <v>1</v>
      </c>
      <c r="K885" s="2"/>
      <c r="L885" s="3">
        <v>26.5</v>
      </c>
      <c r="M885" s="3">
        <v>2.65</v>
      </c>
      <c r="N885" s="3">
        <v>1.55</v>
      </c>
      <c r="O885" s="3">
        <f>1.86</f>
        <v>1.86</v>
      </c>
      <c r="P885" s="3">
        <f>1.86-1.86</f>
        <v>0</v>
      </c>
      <c r="Q885" s="6">
        <f t="shared" si="1931"/>
        <v>22.3</v>
      </c>
      <c r="R885" s="3"/>
      <c r="S885" s="3">
        <v>17.989999999999998</v>
      </c>
      <c r="T885" s="3">
        <v>1.26</v>
      </c>
      <c r="U885" s="3"/>
      <c r="V885" s="3"/>
      <c r="W885" s="3"/>
      <c r="X885" s="2">
        <f t="shared" ref="X885" si="1934">+S885+T885++U885+V885-W885</f>
        <v>19.25</v>
      </c>
      <c r="Y885" s="6">
        <f t="shared" ref="Y885" si="1935">+Q885-X885</f>
        <v>3.0500000000000007</v>
      </c>
      <c r="Z885" s="2"/>
      <c r="AA885" s="2"/>
      <c r="AB885" s="2"/>
      <c r="AC885" s="3"/>
      <c r="AD885" s="2"/>
      <c r="AE885" s="2"/>
      <c r="AF885" s="2"/>
      <c r="AG885" s="2"/>
      <c r="AH885" s="2" t="s">
        <v>2863</v>
      </c>
      <c r="AI885" s="2" t="s">
        <v>2862</v>
      </c>
      <c r="AJ885" s="2"/>
      <c r="AK885" s="2"/>
      <c r="AL885" s="2" t="s">
        <v>3224</v>
      </c>
      <c r="AM885" s="2" t="s">
        <v>3223</v>
      </c>
      <c r="AN885" s="2"/>
      <c r="AO885" s="2" t="s">
        <v>2918</v>
      </c>
      <c r="AP885" s="2" t="s">
        <v>2920</v>
      </c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</row>
    <row r="886" spans="3:58" ht="17.25" customHeight="1">
      <c r="C886" s="1">
        <v>43947</v>
      </c>
      <c r="E886" s="2" t="s">
        <v>2613</v>
      </c>
      <c r="F886" s="2"/>
      <c r="G886" s="2" t="s">
        <v>4324</v>
      </c>
      <c r="H886" s="2" t="s">
        <v>3312</v>
      </c>
      <c r="I886" s="2"/>
      <c r="J886" s="2">
        <v>1</v>
      </c>
      <c r="K886" s="2"/>
      <c r="L886" s="3">
        <v>67.5</v>
      </c>
      <c r="M886" s="3">
        <v>6.75</v>
      </c>
      <c r="N886" s="3">
        <v>3.27</v>
      </c>
      <c r="O886" s="3"/>
      <c r="P886" s="3"/>
      <c r="Q886" s="6">
        <f t="shared" si="1931"/>
        <v>57.48</v>
      </c>
      <c r="R886" s="3"/>
      <c r="S886" s="3">
        <v>49</v>
      </c>
      <c r="T886" s="3">
        <v>5.64</v>
      </c>
      <c r="U886" s="3"/>
      <c r="V886" s="3"/>
      <c r="W886" s="3"/>
      <c r="X886" s="2">
        <f t="shared" ref="X886:X887" si="1936">+S886+T886++U886+V886-W886</f>
        <v>54.64</v>
      </c>
      <c r="Y886" s="6">
        <f t="shared" ref="Y886:Y887" si="1937">+Q886-X886</f>
        <v>2.8399999999999963</v>
      </c>
      <c r="Z886" s="2"/>
      <c r="AA886" s="2"/>
      <c r="AB886" s="2"/>
      <c r="AC886" s="3"/>
      <c r="AD886" s="2"/>
      <c r="AE886" s="2"/>
      <c r="AF886" s="2"/>
      <c r="AG886" s="2"/>
      <c r="AH886" s="2" t="s">
        <v>2856</v>
      </c>
      <c r="AI886" s="2" t="s">
        <v>2855</v>
      </c>
      <c r="AJ886" s="2"/>
      <c r="AK886" s="2"/>
      <c r="AL886" s="2" t="s">
        <v>2922</v>
      </c>
      <c r="AM886" s="16" t="s">
        <v>4325</v>
      </c>
      <c r="AN886" s="2"/>
      <c r="AO886" s="2" t="s">
        <v>3019</v>
      </c>
      <c r="AP886" s="2"/>
      <c r="AQ886" s="2"/>
      <c r="AR886" s="16" t="s">
        <v>3311</v>
      </c>
      <c r="AS886" s="16" t="s">
        <v>4194</v>
      </c>
      <c r="AT886" s="2"/>
      <c r="AU886" s="2" t="s">
        <v>5216</v>
      </c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</row>
    <row r="887" spans="3:58" ht="17.25" customHeight="1">
      <c r="C887" s="1">
        <v>43947</v>
      </c>
      <c r="E887" s="2" t="s">
        <v>1922</v>
      </c>
      <c r="F887" s="2"/>
      <c r="G887" s="2" t="s">
        <v>2857</v>
      </c>
      <c r="H887" s="2" t="s">
        <v>2858</v>
      </c>
      <c r="I887" s="2"/>
      <c r="J887" s="2">
        <v>1</v>
      </c>
      <c r="K887" s="2"/>
      <c r="L887" s="3">
        <v>22.75</v>
      </c>
      <c r="M887" s="3">
        <v>2.27</v>
      </c>
      <c r="N887" s="3">
        <v>1.4</v>
      </c>
      <c r="O887" s="3"/>
      <c r="P887" s="3">
        <v>2.2799999999999998</v>
      </c>
      <c r="Q887" s="6">
        <f t="shared" si="1931"/>
        <v>21.360000000000003</v>
      </c>
      <c r="R887" s="3"/>
      <c r="S887" s="3">
        <v>11.99</v>
      </c>
      <c r="T887" s="3">
        <v>0</v>
      </c>
      <c r="U887" s="3"/>
      <c r="V887" s="3"/>
      <c r="W887" s="3"/>
      <c r="X887" s="3">
        <f t="shared" si="1936"/>
        <v>11.99</v>
      </c>
      <c r="Y887" s="3">
        <f t="shared" si="1937"/>
        <v>9.3700000000000028</v>
      </c>
      <c r="Z887" s="2"/>
      <c r="AA887" s="2"/>
      <c r="AB887" s="2"/>
      <c r="AC887" s="3"/>
      <c r="AD887" s="2"/>
      <c r="AE887" s="2"/>
      <c r="AF887" s="2"/>
      <c r="AG887" s="2"/>
      <c r="AH887" s="2" t="s">
        <v>2860</v>
      </c>
      <c r="AI887" s="2" t="s">
        <v>2859</v>
      </c>
      <c r="AJ887" s="2"/>
      <c r="AK887" s="2"/>
      <c r="AL887" s="2" t="s">
        <v>2926</v>
      </c>
      <c r="AM887" s="16" t="s">
        <v>3692</v>
      </c>
      <c r="AN887" s="2"/>
      <c r="AO887" s="2" t="s">
        <v>3234</v>
      </c>
      <c r="AP887" s="2" t="s">
        <v>3233</v>
      </c>
      <c r="AQ887" s="2"/>
      <c r="AR887" s="2" t="s">
        <v>3232</v>
      </c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</row>
    <row r="888" spans="3:58" ht="17.25" customHeight="1">
      <c r="C888" s="1">
        <v>43947</v>
      </c>
      <c r="E888" s="2" t="s">
        <v>2667</v>
      </c>
      <c r="F888" s="2"/>
      <c r="G888" s="2" t="s">
        <v>2847</v>
      </c>
      <c r="H888" s="2" t="s">
        <v>2848</v>
      </c>
      <c r="I888" s="2"/>
      <c r="J888" s="2">
        <v>1</v>
      </c>
      <c r="K888" s="2"/>
      <c r="L888" s="3">
        <v>25.8</v>
      </c>
      <c r="M888" s="3">
        <v>2.58</v>
      </c>
      <c r="N888" s="3">
        <v>1.5</v>
      </c>
      <c r="O888" s="3">
        <f>1.55</f>
        <v>1.55</v>
      </c>
      <c r="P888" s="3">
        <f>1.55-1.55</f>
        <v>0</v>
      </c>
      <c r="Q888" s="6">
        <f t="shared" si="1931"/>
        <v>21.72</v>
      </c>
      <c r="R888" s="3"/>
      <c r="S888" s="3">
        <v>17.989999999999998</v>
      </c>
      <c r="T888" s="3">
        <v>1.08</v>
      </c>
      <c r="U888" s="3"/>
      <c r="V888" s="3"/>
      <c r="W888" s="3"/>
      <c r="X888" s="2">
        <f t="shared" ref="X888" si="1938">+S888+T888++U888+V888-W888</f>
        <v>19.07</v>
      </c>
      <c r="Y888" s="6">
        <f t="shared" ref="Y888" si="1939">+Q888-X888</f>
        <v>2.6499999999999986</v>
      </c>
      <c r="Z888" s="2"/>
      <c r="AA888" s="2"/>
      <c r="AB888" s="2"/>
      <c r="AC888" s="3"/>
      <c r="AD888" s="2"/>
      <c r="AE888" s="2"/>
      <c r="AF888" s="2"/>
      <c r="AG888" s="2"/>
      <c r="AH888" s="2" t="s">
        <v>2850</v>
      </c>
      <c r="AI888" s="2" t="s">
        <v>2849</v>
      </c>
      <c r="AJ888" s="2"/>
      <c r="AK888" s="2"/>
      <c r="AL888" s="2" t="s">
        <v>2926</v>
      </c>
      <c r="AM888" s="16" t="s">
        <v>4145</v>
      </c>
      <c r="AN888" s="2"/>
      <c r="AO888" s="2" t="s">
        <v>3238</v>
      </c>
      <c r="AP888" s="2" t="s">
        <v>3240</v>
      </c>
      <c r="AQ888" s="2"/>
      <c r="AR888" s="16" t="s">
        <v>3239</v>
      </c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</row>
    <row r="889" spans="3:58" ht="17.25" customHeight="1">
      <c r="C889" s="1">
        <v>43947</v>
      </c>
      <c r="E889" s="2" t="s">
        <v>2024</v>
      </c>
      <c r="F889" s="2"/>
      <c r="G889" s="2" t="s">
        <v>2846</v>
      </c>
      <c r="H889" s="2" t="s">
        <v>2931</v>
      </c>
      <c r="I889" s="2"/>
      <c r="J889" s="2">
        <v>1</v>
      </c>
      <c r="K889" s="2"/>
      <c r="L889" s="3">
        <v>53.95</v>
      </c>
      <c r="M889" s="3">
        <v>5.39</v>
      </c>
      <c r="N889" s="3">
        <v>2.67</v>
      </c>
      <c r="O889" s="3">
        <v>0</v>
      </c>
      <c r="P889" s="3">
        <v>0</v>
      </c>
      <c r="Q889" s="6">
        <f t="shared" ref="Q889" si="1940">+L889-M889-N889+P889</f>
        <v>45.89</v>
      </c>
      <c r="R889" s="3"/>
      <c r="S889" s="3">
        <v>36.99</v>
      </c>
      <c r="T889" s="3">
        <v>4.25</v>
      </c>
      <c r="U889" s="3"/>
      <c r="V889" s="3">
        <v>0</v>
      </c>
      <c r="W889" s="3"/>
      <c r="X889" s="2">
        <f t="shared" ref="X889" si="1941">+S889+T889++U889+V889-W889</f>
        <v>41.24</v>
      </c>
      <c r="Y889" s="6">
        <f t="shared" ref="Y889" si="1942">+Q889-X889</f>
        <v>4.6499999999999986</v>
      </c>
      <c r="Z889" s="2"/>
      <c r="AA889" s="2"/>
      <c r="AB889" s="2"/>
      <c r="AC889" s="3"/>
      <c r="AD889" s="2"/>
      <c r="AE889" s="2"/>
      <c r="AF889" s="2"/>
      <c r="AG889" s="2"/>
      <c r="AH889" s="2" t="s">
        <v>2852</v>
      </c>
      <c r="AI889" s="2" t="s">
        <v>2851</v>
      </c>
      <c r="AJ889" s="2"/>
      <c r="AK889" s="2"/>
      <c r="AL889" s="2" t="s">
        <v>2926</v>
      </c>
      <c r="AM889" s="22" t="s">
        <v>4337</v>
      </c>
      <c r="AN889" s="2"/>
      <c r="AO889" s="2" t="s">
        <v>3059</v>
      </c>
      <c r="AP889" s="2"/>
      <c r="AQ889" s="2"/>
      <c r="AR889" s="16" t="s">
        <v>4338</v>
      </c>
      <c r="AS889" s="16" t="s">
        <v>3795</v>
      </c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</row>
    <row r="890" spans="3:58" ht="17.25" customHeight="1">
      <c r="C890" s="1">
        <v>43947</v>
      </c>
      <c r="E890" s="2" t="s">
        <v>2024</v>
      </c>
      <c r="F890" s="2"/>
      <c r="G890" s="2" t="s">
        <v>2844</v>
      </c>
      <c r="H890" s="2" t="s">
        <v>2845</v>
      </c>
      <c r="I890" s="2"/>
      <c r="J890" s="2">
        <v>1</v>
      </c>
      <c r="K890" s="2"/>
      <c r="L890" s="3">
        <v>53.95</v>
      </c>
      <c r="M890" s="3">
        <v>5.39</v>
      </c>
      <c r="N890" s="3">
        <v>2.84</v>
      </c>
      <c r="O890" s="3">
        <f>4.45</f>
        <v>4.45</v>
      </c>
      <c r="P890" s="3">
        <f>4.45-4.45</f>
        <v>0</v>
      </c>
      <c r="Q890" s="6">
        <f t="shared" ref="Q890" si="1943">+L890-M890-N890+P890</f>
        <v>45.72</v>
      </c>
      <c r="R890" s="3"/>
      <c r="S890" s="3">
        <v>34.020000000000003</v>
      </c>
      <c r="T890" s="3">
        <v>2.38</v>
      </c>
      <c r="U890" s="3"/>
      <c r="V890" s="3">
        <v>0</v>
      </c>
      <c r="W890" s="3"/>
      <c r="X890" s="2">
        <f t="shared" ref="X890" si="1944">+S890+T890++U890+V890-W890</f>
        <v>36.400000000000006</v>
      </c>
      <c r="Y890" s="6">
        <f t="shared" ref="Y890" si="1945">+Q890-X890</f>
        <v>9.3199999999999932</v>
      </c>
      <c r="Z890" s="2"/>
      <c r="AA890" s="2"/>
      <c r="AB890" s="2"/>
      <c r="AC890" s="3"/>
      <c r="AD890" s="2"/>
      <c r="AE890" s="2"/>
      <c r="AF890" s="2"/>
      <c r="AG890" s="2"/>
      <c r="AH890" s="2" t="s">
        <v>2854</v>
      </c>
      <c r="AI890" s="2" t="s">
        <v>2853</v>
      </c>
      <c r="AJ890" s="2"/>
      <c r="AK890" s="2"/>
      <c r="AL890" s="2" t="s">
        <v>2926</v>
      </c>
      <c r="AM890" s="16" t="s">
        <v>2924</v>
      </c>
      <c r="AN890" s="2"/>
      <c r="AO890" s="2" t="s">
        <v>2923</v>
      </c>
      <c r="AP890" s="2" t="s">
        <v>2934</v>
      </c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</row>
    <row r="891" spans="3:58" ht="17.25" customHeight="1">
      <c r="C891" s="1">
        <v>43947</v>
      </c>
      <c r="E891" s="2" t="s">
        <v>2835</v>
      </c>
      <c r="F891" s="2"/>
      <c r="G891" s="2" t="s">
        <v>2836</v>
      </c>
      <c r="H891" s="2" t="s">
        <v>2837</v>
      </c>
      <c r="I891" s="2"/>
      <c r="J891" s="2">
        <v>1</v>
      </c>
      <c r="K891" s="2"/>
      <c r="L891" s="3">
        <v>83.5</v>
      </c>
      <c r="M891" s="3">
        <v>8.35</v>
      </c>
      <c r="N891" s="3">
        <v>4.3</v>
      </c>
      <c r="O891" s="3">
        <f>4.3</f>
        <v>4.3</v>
      </c>
      <c r="P891" s="3">
        <f>4.3-4.3</f>
        <v>0</v>
      </c>
      <c r="Q891" s="6">
        <f t="shared" ref="Q891" si="1946">+L891-M891-N891+P891</f>
        <v>70.850000000000009</v>
      </c>
      <c r="R891" s="3"/>
      <c r="S891" s="3">
        <v>65.19</v>
      </c>
      <c r="T891" s="3">
        <v>5.71</v>
      </c>
      <c r="U891" s="3"/>
      <c r="V891" s="3"/>
      <c r="W891" s="3">
        <v>6.51</v>
      </c>
      <c r="X891" s="2">
        <f t="shared" ref="X891" si="1947">+S891+T891++U891+V891-W891</f>
        <v>64.389999999999986</v>
      </c>
      <c r="Y891" s="6">
        <f t="shared" ref="Y891" si="1948">+Q891-X891</f>
        <v>6.4600000000000222</v>
      </c>
      <c r="Z891" s="2"/>
      <c r="AA891" s="6">
        <f>+Y891</f>
        <v>6.4600000000000222</v>
      </c>
      <c r="AB891" s="2"/>
      <c r="AC891" s="3"/>
      <c r="AD891" s="2"/>
      <c r="AE891" s="2"/>
      <c r="AF891" s="2"/>
      <c r="AG891" s="2"/>
      <c r="AH891" s="2" t="s">
        <v>2839</v>
      </c>
      <c r="AI891" s="2" t="s">
        <v>2838</v>
      </c>
      <c r="AJ891" s="2"/>
      <c r="AK891" s="2"/>
      <c r="AL891" s="2" t="s">
        <v>3071</v>
      </c>
      <c r="AM891" s="16" t="s">
        <v>3075</v>
      </c>
      <c r="AN891" s="2"/>
      <c r="AO891" s="14" t="s">
        <v>3074</v>
      </c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</row>
    <row r="892" spans="3:58" ht="17.25" customHeight="1">
      <c r="C892" s="1">
        <v>43947</v>
      </c>
      <c r="E892" s="2" t="s">
        <v>1922</v>
      </c>
      <c r="F892" s="2"/>
      <c r="G892" s="2" t="s">
        <v>2831</v>
      </c>
      <c r="H892" s="2" t="s">
        <v>2832</v>
      </c>
      <c r="I892" s="2"/>
      <c r="J892" s="2">
        <v>1</v>
      </c>
      <c r="K892" s="2"/>
      <c r="L892" s="3">
        <v>22.75</v>
      </c>
      <c r="M892" s="3">
        <v>2.27</v>
      </c>
      <c r="N892" s="3">
        <v>1.37</v>
      </c>
      <c r="O892" s="3">
        <f>1.59</f>
        <v>1.59</v>
      </c>
      <c r="P892" s="3">
        <f>1.59-1.59</f>
        <v>0</v>
      </c>
      <c r="Q892" s="6">
        <f t="shared" ref="Q892" si="1949">+L892-M892-N892+P892</f>
        <v>19.11</v>
      </c>
      <c r="R892" s="3"/>
      <c r="S892" s="3">
        <v>14.49</v>
      </c>
      <c r="T892" s="3">
        <v>1.01</v>
      </c>
      <c r="U892" s="3"/>
      <c r="V892" s="3"/>
      <c r="W892" s="3"/>
      <c r="X892" s="3">
        <f t="shared" ref="X892" si="1950">+S892+T892++U892+V892-W892</f>
        <v>15.5</v>
      </c>
      <c r="Y892" s="3">
        <f t="shared" ref="Y892" si="1951">+Q892-X892</f>
        <v>3.6099999999999994</v>
      </c>
      <c r="Z892" s="2"/>
      <c r="AA892" s="2"/>
      <c r="AB892" s="2"/>
      <c r="AC892" s="3"/>
      <c r="AD892" s="2"/>
      <c r="AE892" s="2"/>
      <c r="AF892" s="2"/>
      <c r="AG892" s="2"/>
      <c r="AH892" s="2" t="s">
        <v>2834</v>
      </c>
      <c r="AI892" s="2" t="s">
        <v>2833</v>
      </c>
      <c r="AJ892" s="2"/>
      <c r="AK892" s="2"/>
      <c r="AL892" s="2" t="s">
        <v>2926</v>
      </c>
      <c r="AM892" s="16" t="s">
        <v>3691</v>
      </c>
      <c r="AN892" s="2"/>
      <c r="AO892" s="2" t="s">
        <v>3231</v>
      </c>
      <c r="AP892" s="2" t="s">
        <v>3233</v>
      </c>
      <c r="AQ892" s="2"/>
      <c r="AR892" s="2" t="s">
        <v>3232</v>
      </c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</row>
    <row r="893" spans="3:58" ht="17.25" customHeight="1">
      <c r="C893" s="1">
        <v>43947</v>
      </c>
      <c r="E893" s="2" t="s">
        <v>2826</v>
      </c>
      <c r="F893" s="2"/>
      <c r="G893" s="2" t="s">
        <v>2827</v>
      </c>
      <c r="H893" s="2" t="s">
        <v>2828</v>
      </c>
      <c r="I893" s="2"/>
      <c r="J893" s="2">
        <v>1</v>
      </c>
      <c r="K893" s="2"/>
      <c r="L893" s="3">
        <v>72.5</v>
      </c>
      <c r="M893" s="3">
        <v>7.25</v>
      </c>
      <c r="N893" s="3">
        <v>3.71</v>
      </c>
      <c r="O893" s="3">
        <f>5.28</f>
        <v>5.28</v>
      </c>
      <c r="P893" s="3">
        <f>5.28-5.28</f>
        <v>0</v>
      </c>
      <c r="Q893" s="6">
        <f t="shared" ref="Q893:Q894" si="1952">+L893-M893-N893+P893</f>
        <v>61.54</v>
      </c>
      <c r="R893" s="3"/>
      <c r="S893" s="3">
        <v>46.99</v>
      </c>
      <c r="T893" s="3">
        <v>0</v>
      </c>
      <c r="U893" s="3">
        <v>4.99</v>
      </c>
      <c r="V893" s="3"/>
      <c r="W893" s="3">
        <v>4.6900000000000004</v>
      </c>
      <c r="X893" s="2">
        <f t="shared" ref="X893" si="1953">+S893+T893++U893+V893-W893</f>
        <v>47.290000000000006</v>
      </c>
      <c r="Y893" s="6">
        <f t="shared" ref="Y893" si="1954">+Q893-X893</f>
        <v>14.249999999999993</v>
      </c>
      <c r="Z893" s="2"/>
      <c r="AA893" s="2"/>
      <c r="AB893" s="2"/>
      <c r="AC893" s="3"/>
      <c r="AD893" s="2"/>
      <c r="AE893" s="2"/>
      <c r="AF893" s="2"/>
      <c r="AG893" s="2"/>
      <c r="AH893" s="2" t="s">
        <v>2830</v>
      </c>
      <c r="AI893" s="2" t="s">
        <v>2829</v>
      </c>
      <c r="AJ893" s="2"/>
      <c r="AK893" s="2"/>
      <c r="AL893" s="2" t="s">
        <v>2922</v>
      </c>
      <c r="AM893" s="2" t="s">
        <v>3381</v>
      </c>
      <c r="AN893" s="2"/>
      <c r="AO893" s="2" t="s">
        <v>3139</v>
      </c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</row>
    <row r="894" spans="3:58" ht="17.25" customHeight="1">
      <c r="C894" s="1">
        <v>43946</v>
      </c>
      <c r="E894" s="2" t="s">
        <v>2823</v>
      </c>
      <c r="F894" s="2"/>
      <c r="G894" s="2" t="s">
        <v>2821</v>
      </c>
      <c r="H894" s="2" t="s">
        <v>2822</v>
      </c>
      <c r="I894" s="2"/>
      <c r="J894" s="2">
        <v>1</v>
      </c>
      <c r="K894" s="2"/>
      <c r="L894" s="3">
        <v>83.5</v>
      </c>
      <c r="M894" s="3">
        <v>8.35</v>
      </c>
      <c r="N894" s="3">
        <v>4.28</v>
      </c>
      <c r="O894" s="3">
        <f>6.89</f>
        <v>6.89</v>
      </c>
      <c r="P894" s="3">
        <f>6.89-6.89</f>
        <v>0</v>
      </c>
      <c r="Q894" s="6">
        <f t="shared" si="1952"/>
        <v>70.87</v>
      </c>
      <c r="R894" s="3"/>
      <c r="S894" s="3">
        <v>65.19</v>
      </c>
      <c r="T894" s="3">
        <v>5.38</v>
      </c>
      <c r="U894" s="3"/>
      <c r="V894" s="3"/>
      <c r="W894" s="3">
        <v>6.51</v>
      </c>
      <c r="X894" s="2">
        <f t="shared" ref="X894" si="1955">+S894+T894++U894+V894-W894</f>
        <v>64.059999999999988</v>
      </c>
      <c r="Y894" s="6">
        <f t="shared" ref="Y894" si="1956">+Q894-X894</f>
        <v>6.8100000000000165</v>
      </c>
      <c r="Z894" s="2"/>
      <c r="AA894" s="6">
        <f>+Y894</f>
        <v>6.8100000000000165</v>
      </c>
      <c r="AB894" s="2"/>
      <c r="AC894" s="3"/>
      <c r="AD894" s="2"/>
      <c r="AE894" s="2"/>
      <c r="AF894" s="2"/>
      <c r="AG894" s="2"/>
      <c r="AH894" s="2" t="s">
        <v>2825</v>
      </c>
      <c r="AI894" s="2" t="s">
        <v>2824</v>
      </c>
      <c r="AJ894" s="2"/>
      <c r="AK894" s="2"/>
      <c r="AL894" s="2" t="s">
        <v>3071</v>
      </c>
      <c r="AM894" s="16" t="s">
        <v>3076</v>
      </c>
      <c r="AN894" s="2"/>
      <c r="AO894" s="2" t="s">
        <v>3077</v>
      </c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</row>
    <row r="895" spans="3:58" ht="17.25" customHeight="1">
      <c r="C895" s="1">
        <v>43946</v>
      </c>
      <c r="E895" s="2" t="s">
        <v>1646</v>
      </c>
      <c r="F895" s="2"/>
      <c r="G895" s="2" t="s">
        <v>2815</v>
      </c>
      <c r="H895" s="2" t="s">
        <v>2816</v>
      </c>
      <c r="I895" s="2"/>
      <c r="J895" s="2">
        <v>1</v>
      </c>
      <c r="K895" s="2"/>
      <c r="L895" s="3">
        <v>26.5</v>
      </c>
      <c r="M895" s="3">
        <v>2.65</v>
      </c>
      <c r="N895" s="3">
        <v>1.56</v>
      </c>
      <c r="O895" s="3">
        <f>2.12</f>
        <v>2.12</v>
      </c>
      <c r="P895" s="3">
        <f>2.12-2.12</f>
        <v>0</v>
      </c>
      <c r="Q895" s="6">
        <f t="shared" ref="Q895:Q898" si="1957">+L895-M895-N895+P895</f>
        <v>22.290000000000003</v>
      </c>
      <c r="R895" s="3"/>
      <c r="S895" s="3">
        <v>19.989999999999998</v>
      </c>
      <c r="T895" s="3">
        <v>1.6</v>
      </c>
      <c r="U895" s="3"/>
      <c r="V895" s="3"/>
      <c r="W895" s="3"/>
      <c r="X895" s="2">
        <f t="shared" ref="X895" si="1958">+S895+T895++U895+V895-W895</f>
        <v>21.59</v>
      </c>
      <c r="Y895" s="6">
        <f t="shared" ref="Y895" si="1959">+Q895-X895</f>
        <v>0.70000000000000284</v>
      </c>
      <c r="Z895" s="2"/>
      <c r="AA895" s="2"/>
      <c r="AB895" s="2"/>
      <c r="AC895" s="3"/>
      <c r="AD895" s="2"/>
      <c r="AE895" s="2"/>
      <c r="AF895" s="2"/>
      <c r="AG895" s="2"/>
      <c r="AH895" s="2" t="s">
        <v>2818</v>
      </c>
      <c r="AI895" s="2" t="s">
        <v>2817</v>
      </c>
      <c r="AJ895" s="2"/>
      <c r="AK895" s="2"/>
      <c r="AL895" s="2" t="s">
        <v>2922</v>
      </c>
      <c r="AM895" s="2" t="s">
        <v>3398</v>
      </c>
      <c r="AN895" s="2"/>
      <c r="AO895" s="2" t="s">
        <v>3093</v>
      </c>
      <c r="AP895" s="2"/>
      <c r="AQ895" s="2"/>
      <c r="AR895" s="19" t="s">
        <v>3310</v>
      </c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</row>
    <row r="896" spans="3:58" ht="17.25" customHeight="1">
      <c r="C896" s="1">
        <v>43946</v>
      </c>
      <c r="E896" s="2" t="s">
        <v>2812</v>
      </c>
      <c r="F896" s="2"/>
      <c r="G896" s="2" t="s">
        <v>2811</v>
      </c>
      <c r="H896" s="2" t="s">
        <v>2813</v>
      </c>
      <c r="I896" s="2"/>
      <c r="J896" s="2">
        <v>1</v>
      </c>
      <c r="K896" s="2"/>
      <c r="L896" s="3">
        <v>22.6</v>
      </c>
      <c r="M896" s="3">
        <v>2.2599999999999998</v>
      </c>
      <c r="N896" s="3">
        <v>1.36</v>
      </c>
      <c r="O896" s="3">
        <f>1.53</f>
        <v>1.53</v>
      </c>
      <c r="P896" s="3">
        <f>1.53-1.53</f>
        <v>0</v>
      </c>
      <c r="Q896" s="6">
        <f t="shared" si="1957"/>
        <v>18.980000000000004</v>
      </c>
      <c r="R896" s="3"/>
      <c r="S896" s="3">
        <v>14.99</v>
      </c>
      <c r="T896" s="3">
        <v>1.05</v>
      </c>
      <c r="U896" s="3"/>
      <c r="V896" s="3"/>
      <c r="W896" s="3"/>
      <c r="X896" s="2">
        <f t="shared" ref="X896" si="1960">+S896+T896++U896+V896-W896</f>
        <v>16.04</v>
      </c>
      <c r="Y896" s="6">
        <f t="shared" ref="Y896" si="1961">+Q896-X896</f>
        <v>2.9400000000000048</v>
      </c>
      <c r="Z896" s="2"/>
      <c r="AA896" s="2"/>
      <c r="AB896" s="2"/>
      <c r="AC896" s="3"/>
      <c r="AD896" s="2"/>
      <c r="AE896" s="2"/>
      <c r="AF896" s="2"/>
      <c r="AG896" s="2"/>
      <c r="AH896" s="2" t="s">
        <v>2820</v>
      </c>
      <c r="AI896" s="2" t="s">
        <v>2819</v>
      </c>
      <c r="AJ896" s="2"/>
      <c r="AK896" s="2"/>
      <c r="AL896" s="2" t="s">
        <v>3224</v>
      </c>
      <c r="AM896" s="2" t="s">
        <v>3747</v>
      </c>
      <c r="AN896" s="2"/>
      <c r="AO896" s="2" t="s">
        <v>3241</v>
      </c>
      <c r="AP896" s="2"/>
      <c r="AQ896" s="2"/>
      <c r="AR896" s="16" t="s">
        <v>3219</v>
      </c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</row>
    <row r="897" spans="2:58" ht="17.25" customHeight="1">
      <c r="C897" s="1">
        <v>43945</v>
      </c>
      <c r="E897" s="2" t="s">
        <v>2386</v>
      </c>
      <c r="F897" s="2"/>
      <c r="G897" s="2" t="s">
        <v>2782</v>
      </c>
      <c r="H897" s="2" t="s">
        <v>2783</v>
      </c>
      <c r="I897" s="2"/>
      <c r="J897" s="2">
        <v>1</v>
      </c>
      <c r="K897" s="2"/>
      <c r="L897" s="3">
        <v>83.5</v>
      </c>
      <c r="M897" s="3">
        <v>8.35</v>
      </c>
      <c r="N897" s="3">
        <v>4.2300000000000004</v>
      </c>
      <c r="O897" s="3">
        <f>5.85</f>
        <v>5.85</v>
      </c>
      <c r="P897" s="3">
        <f>5.85-5.85</f>
        <v>0</v>
      </c>
      <c r="Q897" s="6">
        <f t="shared" si="1957"/>
        <v>70.92</v>
      </c>
      <c r="R897" s="3"/>
      <c r="S897" s="3">
        <v>65.19</v>
      </c>
      <c r="T897" s="3">
        <v>4.57</v>
      </c>
      <c r="U897" s="3"/>
      <c r="V897" s="3"/>
      <c r="W897" s="3">
        <v>6.51</v>
      </c>
      <c r="X897" s="2">
        <f t="shared" ref="X897:X898" si="1962">+S897+T897++U897+V897-W897</f>
        <v>63.249999999999993</v>
      </c>
      <c r="Y897" s="6">
        <f t="shared" ref="Y897:Y898" si="1963">+Q897-X897</f>
        <v>7.6700000000000088</v>
      </c>
      <c r="Z897" s="2"/>
      <c r="AA897" s="6">
        <f>+Y897</f>
        <v>7.6700000000000088</v>
      </c>
      <c r="AB897" s="2"/>
      <c r="AC897" s="3"/>
      <c r="AD897" s="2"/>
      <c r="AE897" s="2"/>
      <c r="AF897" s="2"/>
      <c r="AG897" s="2"/>
      <c r="AH897" s="2" t="s">
        <v>2785</v>
      </c>
      <c r="AI897" s="2" t="s">
        <v>2784</v>
      </c>
      <c r="AJ897" s="2"/>
      <c r="AK897" s="2"/>
      <c r="AL897" s="2" t="s">
        <v>2926</v>
      </c>
      <c r="AM897" s="16" t="s">
        <v>3073</v>
      </c>
      <c r="AN897" s="2"/>
      <c r="AO897" s="14" t="s">
        <v>3072</v>
      </c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</row>
    <row r="898" spans="2:58" ht="17.25" customHeight="1">
      <c r="C898" s="1">
        <v>43945</v>
      </c>
      <c r="E898" s="2" t="s">
        <v>62</v>
      </c>
      <c r="F898" s="2"/>
      <c r="G898" s="2" t="s">
        <v>2786</v>
      </c>
      <c r="H898" s="2" t="s">
        <v>2787</v>
      </c>
      <c r="I898" s="2"/>
      <c r="J898" s="2">
        <v>1</v>
      </c>
      <c r="K898" s="2"/>
      <c r="L898" s="3">
        <v>54.25</v>
      </c>
      <c r="M898" s="3">
        <v>5.42</v>
      </c>
      <c r="N898" s="3">
        <v>2.91</v>
      </c>
      <c r="O898" s="3">
        <f>5.15</f>
        <v>5.15</v>
      </c>
      <c r="P898" s="3">
        <f>5.15-5.15</f>
        <v>0</v>
      </c>
      <c r="Q898" s="6">
        <f t="shared" si="1957"/>
        <v>45.92</v>
      </c>
      <c r="R898" s="3"/>
      <c r="S898" s="3">
        <v>39.99</v>
      </c>
      <c r="T898" s="3">
        <v>3.8</v>
      </c>
      <c r="U898" s="3"/>
      <c r="V898" s="3"/>
      <c r="W898" s="3"/>
      <c r="X898" s="2">
        <f t="shared" si="1962"/>
        <v>43.79</v>
      </c>
      <c r="Y898" s="6">
        <f t="shared" si="1963"/>
        <v>2.1300000000000026</v>
      </c>
      <c r="Z898" s="2"/>
      <c r="AA898" s="2"/>
      <c r="AB898" s="2"/>
      <c r="AC898" s="3"/>
      <c r="AD898" s="2"/>
      <c r="AE898" s="2"/>
      <c r="AF898" s="2"/>
      <c r="AG898" s="2"/>
      <c r="AH898" s="2" t="s">
        <v>2789</v>
      </c>
      <c r="AI898" s="2" t="s">
        <v>2788</v>
      </c>
      <c r="AJ898" s="2"/>
      <c r="AK898" s="2"/>
      <c r="AL898" s="2" t="s">
        <v>2922</v>
      </c>
      <c r="AM898" s="16" t="s">
        <v>3297</v>
      </c>
      <c r="AN898" s="2"/>
      <c r="AO898" s="2" t="s">
        <v>3091</v>
      </c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</row>
    <row r="899" spans="2:58" ht="17.25" customHeight="1">
      <c r="C899" s="1">
        <v>43945</v>
      </c>
      <c r="E899" s="2" t="s">
        <v>2045</v>
      </c>
      <c r="F899" s="2"/>
      <c r="G899" s="2" t="s">
        <v>2774</v>
      </c>
      <c r="H899" s="2" t="s">
        <v>2775</v>
      </c>
      <c r="I899" s="2"/>
      <c r="J899" s="2">
        <v>1</v>
      </c>
      <c r="K899" s="2"/>
      <c r="L899" s="3">
        <v>37.75</v>
      </c>
      <c r="M899" s="3">
        <v>3.77</v>
      </c>
      <c r="N899" s="3">
        <v>2.0699999999999998</v>
      </c>
      <c r="O899" s="3">
        <f>2.5</f>
        <v>2.5</v>
      </c>
      <c r="P899" s="3">
        <f>2.5-2.5</f>
        <v>0</v>
      </c>
      <c r="Q899" s="6">
        <f t="shared" ref="Q899:Q903" si="1964">+L899-M899-N899+P899</f>
        <v>31.909999999999997</v>
      </c>
      <c r="R899" s="3"/>
      <c r="S899" s="3">
        <v>21.78</v>
      </c>
      <c r="T899" s="3">
        <v>1.77</v>
      </c>
      <c r="U899" s="3">
        <v>5</v>
      </c>
      <c r="V899" s="3"/>
      <c r="W899" s="3"/>
      <c r="X899" s="2">
        <f t="shared" ref="X899" si="1965">+S899+T899++U899+V899-W899</f>
        <v>28.55</v>
      </c>
      <c r="Y899" s="6">
        <f t="shared" ref="Y899" si="1966">+Q899-X899</f>
        <v>3.3599999999999959</v>
      </c>
      <c r="Z899" s="2"/>
      <c r="AA899" s="2"/>
      <c r="AB899" s="2"/>
      <c r="AC899" s="3"/>
      <c r="AD899" s="2"/>
      <c r="AE899" s="2"/>
      <c r="AF899" s="2"/>
      <c r="AG899" s="2"/>
      <c r="AH899" s="2" t="s">
        <v>2776</v>
      </c>
      <c r="AI899" s="2" t="s">
        <v>2777</v>
      </c>
      <c r="AJ899" s="2"/>
      <c r="AK899" s="2"/>
      <c r="AL899" s="2" t="s">
        <v>2922</v>
      </c>
      <c r="AM899" s="2" t="s">
        <v>3264</v>
      </c>
      <c r="AN899" s="2"/>
      <c r="AO899" s="16" t="s">
        <v>2976</v>
      </c>
      <c r="AP899" s="2" t="s">
        <v>2912</v>
      </c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</row>
    <row r="900" spans="2:58" ht="17.25" customHeight="1">
      <c r="B900" s="45" t="s">
        <v>1370</v>
      </c>
      <c r="C900" s="1">
        <v>43945</v>
      </c>
      <c r="E900" s="2" t="s">
        <v>1341</v>
      </c>
      <c r="F900" s="2"/>
      <c r="G900" s="2" t="s">
        <v>1582</v>
      </c>
      <c r="H900" s="2" t="s">
        <v>1583</v>
      </c>
      <c r="I900" s="2"/>
      <c r="J900" s="2">
        <v>1</v>
      </c>
      <c r="K900" s="2"/>
      <c r="L900" s="3">
        <v>16.600000000000001</v>
      </c>
      <c r="M900" s="3">
        <v>1.66</v>
      </c>
      <c r="N900" s="3">
        <v>1.08</v>
      </c>
      <c r="O900" s="3"/>
      <c r="P900" s="3">
        <v>1.1599999999999999</v>
      </c>
      <c r="Q900" s="6">
        <f t="shared" si="1964"/>
        <v>15.020000000000001</v>
      </c>
      <c r="R900" s="3"/>
      <c r="S900" s="3">
        <v>4.6100000000000003</v>
      </c>
      <c r="T900" s="3">
        <v>0</v>
      </c>
      <c r="U900" s="3">
        <v>3.47</v>
      </c>
      <c r="V900" s="3"/>
      <c r="W900" s="3"/>
      <c r="X900" s="2">
        <f t="shared" ref="X900:X901" si="1967">+S900+T900++U900+V900-W900</f>
        <v>8.08</v>
      </c>
      <c r="Y900" s="6">
        <f t="shared" ref="Y900:Y901" si="1968">+Q900-X900</f>
        <v>6.9400000000000013</v>
      </c>
      <c r="Z900" s="2"/>
      <c r="AA900" s="2"/>
      <c r="AB900" s="2"/>
      <c r="AC900" s="3"/>
      <c r="AD900" s="2"/>
      <c r="AE900" s="2"/>
      <c r="AF900" s="2"/>
      <c r="AG900" s="2"/>
      <c r="AH900" s="2" t="s">
        <v>1585</v>
      </c>
      <c r="AI900" s="2" t="s">
        <v>1584</v>
      </c>
      <c r="AJ900" s="2"/>
      <c r="AK900" s="2"/>
      <c r="AL900" s="2" t="s">
        <v>3705</v>
      </c>
      <c r="AM900" s="2" t="s">
        <v>4122</v>
      </c>
      <c r="AN900" s="2"/>
      <c r="AO900" s="16" t="s">
        <v>2781</v>
      </c>
      <c r="AP900" s="2"/>
      <c r="AQ900" s="2" t="s">
        <v>8426</v>
      </c>
      <c r="AR900" s="2"/>
      <c r="AS900" s="16" t="s">
        <v>8427</v>
      </c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</row>
    <row r="901" spans="2:58" ht="17.25" customHeight="1">
      <c r="B901" s="2"/>
      <c r="C901" s="1">
        <v>43945</v>
      </c>
      <c r="E901" s="2" t="s">
        <v>393</v>
      </c>
      <c r="F901" s="2"/>
      <c r="G901" s="2" t="s">
        <v>3304</v>
      </c>
      <c r="H901" s="2" t="s">
        <v>3305</v>
      </c>
      <c r="I901" s="2"/>
      <c r="J901" s="2">
        <v>1</v>
      </c>
      <c r="K901" s="2"/>
      <c r="L901" s="3">
        <v>53.95</v>
      </c>
      <c r="M901" s="3">
        <v>5.39</v>
      </c>
      <c r="N901" s="3">
        <v>2.88</v>
      </c>
      <c r="O901" s="3">
        <f>4.45</f>
        <v>4.45</v>
      </c>
      <c r="P901" s="3">
        <f>4.45-4.45</f>
        <v>0</v>
      </c>
      <c r="Q901" s="6">
        <f t="shared" ref="Q901" si="1969">+L901-M901-N901+P901</f>
        <v>45.68</v>
      </c>
      <c r="R901" s="3"/>
      <c r="S901" s="3">
        <v>38.78</v>
      </c>
      <c r="T901" s="3">
        <v>3.2</v>
      </c>
      <c r="U901" s="3"/>
      <c r="V901" s="3">
        <v>0</v>
      </c>
      <c r="W901" s="3"/>
      <c r="X901" s="2">
        <f t="shared" si="1967"/>
        <v>41.980000000000004</v>
      </c>
      <c r="Y901" s="6">
        <f t="shared" si="1968"/>
        <v>3.6999999999999957</v>
      </c>
      <c r="Z901" s="2"/>
      <c r="AA901" s="2"/>
      <c r="AB901" s="2"/>
      <c r="AC901" s="3"/>
      <c r="AD901" s="2"/>
      <c r="AE901" s="2"/>
      <c r="AF901" s="2"/>
      <c r="AG901" s="2"/>
      <c r="AH901" s="2" t="s">
        <v>3307</v>
      </c>
      <c r="AI901" s="2" t="s">
        <v>3306</v>
      </c>
      <c r="AJ901" s="2"/>
      <c r="AK901" s="2"/>
      <c r="AL901" s="2"/>
      <c r="AM901" s="2"/>
      <c r="AN901" s="2"/>
      <c r="AO901" s="16" t="s">
        <v>3309</v>
      </c>
      <c r="AP901" s="12" t="s">
        <v>3308</v>
      </c>
      <c r="AQ901" s="1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</row>
    <row r="902" spans="2:58" ht="17.25" customHeight="1">
      <c r="C902" s="1">
        <v>43945</v>
      </c>
      <c r="E902" s="2" t="s">
        <v>2536</v>
      </c>
      <c r="F902" s="2"/>
      <c r="G902" s="2" t="s">
        <v>2772</v>
      </c>
      <c r="H902" s="2" t="s">
        <v>2773</v>
      </c>
      <c r="I902" s="2"/>
      <c r="J902" s="2">
        <v>1</v>
      </c>
      <c r="K902" s="2"/>
      <c r="L902" s="3">
        <v>83.5</v>
      </c>
      <c r="M902" s="3">
        <v>8.35</v>
      </c>
      <c r="N902" s="3">
        <v>4.33</v>
      </c>
      <c r="O902" s="3">
        <f>4.14</f>
        <v>4.1399999999999997</v>
      </c>
      <c r="P902" s="3">
        <f>4.14-4.14</f>
        <v>0</v>
      </c>
      <c r="Q902" s="6">
        <f t="shared" si="1964"/>
        <v>70.820000000000007</v>
      </c>
      <c r="R902" s="3"/>
      <c r="S902" s="3">
        <v>65.19</v>
      </c>
      <c r="T902" s="3">
        <v>6.35</v>
      </c>
      <c r="U902" s="3"/>
      <c r="V902" s="3"/>
      <c r="W902" s="3">
        <v>6.51</v>
      </c>
      <c r="X902" s="2">
        <f t="shared" ref="X902" si="1970">+S902+T902++U902+V902-W902</f>
        <v>65.029999999999987</v>
      </c>
      <c r="Y902" s="6">
        <f t="shared" ref="Y902" si="1971">+Q902-X902</f>
        <v>5.7900000000000205</v>
      </c>
      <c r="Z902" s="2"/>
      <c r="AA902" s="6">
        <f>+Y902</f>
        <v>5.7900000000000205</v>
      </c>
      <c r="AB902" s="2"/>
      <c r="AC902" s="3"/>
      <c r="AD902" s="2"/>
      <c r="AE902" s="2"/>
      <c r="AF902" s="2"/>
      <c r="AG902" s="2"/>
      <c r="AH902" s="2" t="s">
        <v>2771</v>
      </c>
      <c r="AI902" s="2" t="s">
        <v>2770</v>
      </c>
      <c r="AJ902" s="2"/>
      <c r="AK902" s="2"/>
      <c r="AL902" s="2" t="s">
        <v>3071</v>
      </c>
      <c r="AM902" s="16" t="s">
        <v>3070</v>
      </c>
      <c r="AN902" s="2"/>
      <c r="AO902" s="2" t="s">
        <v>2974</v>
      </c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</row>
    <row r="903" spans="2:58" ht="17.25" customHeight="1">
      <c r="C903" s="1">
        <v>43945</v>
      </c>
      <c r="E903" s="2" t="s">
        <v>2024</v>
      </c>
      <c r="F903" s="2"/>
      <c r="G903" s="2" t="s">
        <v>2768</v>
      </c>
      <c r="H903" s="2" t="s">
        <v>2769</v>
      </c>
      <c r="I903" s="2"/>
      <c r="J903" s="2">
        <v>1</v>
      </c>
      <c r="K903" s="2"/>
      <c r="L903" s="3">
        <v>53.95</v>
      </c>
      <c r="M903" s="3">
        <v>5.39</v>
      </c>
      <c r="N903" s="3">
        <v>2.88</v>
      </c>
      <c r="O903" s="3">
        <f>4.45</f>
        <v>4.45</v>
      </c>
      <c r="P903" s="3">
        <f>4.45-4.45</f>
        <v>0</v>
      </c>
      <c r="Q903" s="6">
        <f t="shared" si="1964"/>
        <v>45.68</v>
      </c>
      <c r="R903" s="3"/>
      <c r="S903" s="3">
        <v>36.99</v>
      </c>
      <c r="T903" s="3">
        <v>3.19</v>
      </c>
      <c r="U903" s="3"/>
      <c r="V903" s="3">
        <v>0</v>
      </c>
      <c r="W903" s="3"/>
      <c r="X903" s="2">
        <f t="shared" ref="X903" si="1972">+S903+T903++U903+V903-W903</f>
        <v>40.18</v>
      </c>
      <c r="Y903" s="6">
        <f t="shared" ref="Y903" si="1973">+Q903-X903</f>
        <v>5.5</v>
      </c>
      <c r="Z903" s="2"/>
      <c r="AA903" s="2"/>
      <c r="AB903" s="2"/>
      <c r="AC903" s="3"/>
      <c r="AD903" s="2"/>
      <c r="AE903" s="2"/>
      <c r="AF903" s="2"/>
      <c r="AG903" s="2"/>
      <c r="AH903" s="2" t="s">
        <v>2771</v>
      </c>
      <c r="AI903" s="2" t="s">
        <v>2770</v>
      </c>
      <c r="AJ903" s="2"/>
      <c r="AK903" s="2"/>
      <c r="AL903" s="2" t="s">
        <v>2922</v>
      </c>
      <c r="AM903" s="16" t="s">
        <v>2928</v>
      </c>
      <c r="AN903" s="2"/>
      <c r="AO903" s="2" t="s">
        <v>2808</v>
      </c>
      <c r="AP903" s="2" t="s">
        <v>2805</v>
      </c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</row>
    <row r="904" spans="2:58" ht="17.25" customHeight="1">
      <c r="C904" s="1">
        <v>43945</v>
      </c>
      <c r="E904" s="2" t="s">
        <v>2666</v>
      </c>
      <c r="F904" s="2"/>
      <c r="G904" s="2" t="s">
        <v>2764</v>
      </c>
      <c r="H904" s="2" t="s">
        <v>2765</v>
      </c>
      <c r="I904" s="2"/>
      <c r="J904" s="2">
        <v>1</v>
      </c>
      <c r="K904" s="2"/>
      <c r="L904" s="3">
        <v>18.2</v>
      </c>
      <c r="M904" s="3">
        <v>1.82</v>
      </c>
      <c r="N904" s="3">
        <v>1.1499999999999999</v>
      </c>
      <c r="O904" s="3">
        <f>1.18</f>
        <v>1.18</v>
      </c>
      <c r="P904" s="3">
        <f>1.18-1.18</f>
        <v>0</v>
      </c>
      <c r="Q904" s="6">
        <f t="shared" ref="Q904" si="1974">+L904-M904-N904+P904</f>
        <v>15.229999999999999</v>
      </c>
      <c r="R904" s="3"/>
      <c r="S904" s="3">
        <v>12.3</v>
      </c>
      <c r="T904" s="3">
        <v>0.8</v>
      </c>
      <c r="U904" s="3"/>
      <c r="V904" s="3"/>
      <c r="W904" s="3">
        <v>1.23</v>
      </c>
      <c r="X904" s="2">
        <f t="shared" ref="X904" si="1975">+S904+T904++U904+V904-W904</f>
        <v>11.870000000000001</v>
      </c>
      <c r="Y904" s="6">
        <f t="shared" ref="Y904" si="1976">+Q904-X904</f>
        <v>3.3599999999999977</v>
      </c>
      <c r="Z904" s="2"/>
      <c r="AA904" s="2"/>
      <c r="AB904" s="2"/>
      <c r="AC904" s="3"/>
      <c r="AD904" s="2"/>
      <c r="AE904" s="2"/>
      <c r="AF904" s="2"/>
      <c r="AG904" s="2"/>
      <c r="AH904" s="2" t="s">
        <v>2767</v>
      </c>
      <c r="AI904" s="2" t="s">
        <v>2766</v>
      </c>
      <c r="AJ904" s="2"/>
      <c r="AK904" s="2"/>
      <c r="AL904" s="2" t="s">
        <v>2922</v>
      </c>
      <c r="AM904" s="2" t="s">
        <v>3303</v>
      </c>
      <c r="AN904" s="2"/>
      <c r="AO904" s="2" t="s">
        <v>3064</v>
      </c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</row>
    <row r="905" spans="2:58" ht="17.25" customHeight="1">
      <c r="C905" s="1">
        <v>43945</v>
      </c>
      <c r="E905" s="2" t="s">
        <v>2045</v>
      </c>
      <c r="F905" s="2"/>
      <c r="G905" s="2" t="s">
        <v>2751</v>
      </c>
      <c r="H905" s="2" t="s">
        <v>2752</v>
      </c>
      <c r="I905" s="2"/>
      <c r="J905" s="2">
        <v>1</v>
      </c>
      <c r="K905" s="2"/>
      <c r="L905" s="3">
        <v>35.75</v>
      </c>
      <c r="M905" s="3">
        <v>3.57</v>
      </c>
      <c r="N905" s="3">
        <v>1.96</v>
      </c>
      <c r="O905" s="3">
        <f>1.89</f>
        <v>1.89</v>
      </c>
      <c r="P905" s="3">
        <f>1.89-1.89</f>
        <v>0</v>
      </c>
      <c r="Q905" s="6">
        <f t="shared" ref="Q905" si="1977">+L905-M905-N905+P905</f>
        <v>30.22</v>
      </c>
      <c r="R905" s="3"/>
      <c r="S905" s="3">
        <v>21.78</v>
      </c>
      <c r="T905" s="3">
        <v>1.1499999999999999</v>
      </c>
      <c r="U905" s="3">
        <v>5</v>
      </c>
      <c r="V905" s="3"/>
      <c r="W905" s="3"/>
      <c r="X905" s="2">
        <f t="shared" ref="X905" si="1978">+S905+T905++U905+V905-W905</f>
        <v>27.93</v>
      </c>
      <c r="Y905" s="6">
        <f t="shared" ref="Y905" si="1979">+Q905-X905</f>
        <v>2.2899999999999991</v>
      </c>
      <c r="Z905" s="2"/>
      <c r="AA905" s="2"/>
      <c r="AB905" s="2"/>
      <c r="AC905" s="3"/>
      <c r="AD905" s="2"/>
      <c r="AE905" s="2"/>
      <c r="AF905" s="2"/>
      <c r="AG905" s="2"/>
      <c r="AH905" s="2" t="s">
        <v>2758</v>
      </c>
      <c r="AI905" s="2" t="s">
        <v>2757</v>
      </c>
      <c r="AJ905" s="2"/>
      <c r="AK905" s="2"/>
      <c r="AL905" s="2" t="s">
        <v>2922</v>
      </c>
      <c r="AM905" s="2" t="s">
        <v>3265</v>
      </c>
      <c r="AN905" s="2"/>
      <c r="AO905" s="16" t="s">
        <v>3068</v>
      </c>
      <c r="AP905" s="2" t="s">
        <v>2912</v>
      </c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</row>
    <row r="906" spans="2:58" ht="17.25" customHeight="1">
      <c r="C906" s="1">
        <v>43945</v>
      </c>
      <c r="E906" s="2" t="s">
        <v>2045</v>
      </c>
      <c r="F906" s="2"/>
      <c r="G906" s="2" t="s">
        <v>2753</v>
      </c>
      <c r="H906" s="2" t="s">
        <v>2754</v>
      </c>
      <c r="I906" s="2"/>
      <c r="J906" s="2">
        <v>1</v>
      </c>
      <c r="K906" s="2"/>
      <c r="L906" s="3">
        <v>35.75</v>
      </c>
      <c r="M906" s="3">
        <v>3.57</v>
      </c>
      <c r="N906" s="3">
        <v>1.98</v>
      </c>
      <c r="O906" s="3">
        <f>2.5</f>
        <v>2.5</v>
      </c>
      <c r="P906" s="3">
        <f>2.5-2.5</f>
        <v>0</v>
      </c>
      <c r="Q906" s="6">
        <f t="shared" ref="Q906:Q907" si="1980">+L906-M906-N906+P906</f>
        <v>30.2</v>
      </c>
      <c r="R906" s="3"/>
      <c r="S906" s="3">
        <v>21.78</v>
      </c>
      <c r="T906" s="3">
        <v>1.87</v>
      </c>
      <c r="U906" s="3">
        <v>5</v>
      </c>
      <c r="V906" s="3"/>
      <c r="W906" s="3"/>
      <c r="X906" s="2">
        <f t="shared" ref="X906" si="1981">+S906+T906++U906+V906-W906</f>
        <v>28.650000000000002</v>
      </c>
      <c r="Y906" s="6">
        <f t="shared" ref="Y906" si="1982">+Q906-X906</f>
        <v>1.5499999999999972</v>
      </c>
      <c r="Z906" s="2"/>
      <c r="AA906" s="2"/>
      <c r="AB906" s="2"/>
      <c r="AC906" s="3"/>
      <c r="AD906" s="2"/>
      <c r="AE906" s="2"/>
      <c r="AF906" s="2"/>
      <c r="AG906" s="2"/>
      <c r="AH906" s="2" t="s">
        <v>2756</v>
      </c>
      <c r="AI906" s="2" t="s">
        <v>2755</v>
      </c>
      <c r="AJ906" s="2"/>
      <c r="AK906" s="2"/>
      <c r="AL906" s="2" t="s">
        <v>2922</v>
      </c>
      <c r="AM906" s="2" t="s">
        <v>3266</v>
      </c>
      <c r="AN906" s="2"/>
      <c r="AO906" s="16" t="s">
        <v>3067</v>
      </c>
      <c r="AP906" s="2" t="s">
        <v>2912</v>
      </c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</row>
    <row r="907" spans="2:58" ht="17.25" customHeight="1">
      <c r="C907" s="1">
        <v>43944</v>
      </c>
      <c r="E907" s="2" t="s">
        <v>2024</v>
      </c>
      <c r="F907" s="2"/>
      <c r="G907" s="2" t="s">
        <v>2741</v>
      </c>
      <c r="H907" s="2" t="s">
        <v>2742</v>
      </c>
      <c r="I907" s="2"/>
      <c r="J907" s="2">
        <v>1</v>
      </c>
      <c r="K907" s="2"/>
      <c r="L907" s="3">
        <v>53.95</v>
      </c>
      <c r="M907" s="3">
        <v>5.39</v>
      </c>
      <c r="N907" s="3">
        <v>2.87</v>
      </c>
      <c r="O907" s="3">
        <f>4.45</f>
        <v>4.45</v>
      </c>
      <c r="P907" s="3">
        <f>4.45-4.45</f>
        <v>0</v>
      </c>
      <c r="Q907" s="6">
        <f t="shared" si="1980"/>
        <v>45.690000000000005</v>
      </c>
      <c r="R907" s="3"/>
      <c r="S907" s="3">
        <v>34.020000000000003</v>
      </c>
      <c r="T907" s="3">
        <v>2.81</v>
      </c>
      <c r="U907" s="3"/>
      <c r="V907" s="3">
        <v>0</v>
      </c>
      <c r="W907" s="3"/>
      <c r="X907" s="2">
        <f t="shared" ref="X907" si="1983">+S907+T907++U907+V907-W907</f>
        <v>36.830000000000005</v>
      </c>
      <c r="Y907" s="6">
        <f t="shared" ref="Y907" si="1984">+Q907-X907</f>
        <v>8.86</v>
      </c>
      <c r="Z907" s="6">
        <f>+Y907</f>
        <v>8.86</v>
      </c>
      <c r="AA907" s="2"/>
      <c r="AB907" s="2"/>
      <c r="AC907" s="3"/>
      <c r="AD907" s="2"/>
      <c r="AE907" s="2"/>
      <c r="AF907" s="2"/>
      <c r="AG907" s="2"/>
      <c r="AH907" s="2" t="s">
        <v>2744</v>
      </c>
      <c r="AI907" s="2" t="s">
        <v>2743</v>
      </c>
      <c r="AJ907" s="2"/>
      <c r="AK907" s="2"/>
      <c r="AL907" s="2" t="s">
        <v>2926</v>
      </c>
      <c r="AM907" s="16" t="s">
        <v>2929</v>
      </c>
      <c r="AN907" s="2"/>
      <c r="AO907" s="2" t="s">
        <v>2807</v>
      </c>
      <c r="AP907" s="2" t="s">
        <v>2805</v>
      </c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</row>
    <row r="908" spans="2:58" ht="17.25" customHeight="1">
      <c r="C908" s="1">
        <v>43944</v>
      </c>
      <c r="E908" s="2" t="s">
        <v>2024</v>
      </c>
      <c r="F908" s="2"/>
      <c r="G908" s="2" t="s">
        <v>2738</v>
      </c>
      <c r="H908" s="2" t="s">
        <v>3096</v>
      </c>
      <c r="I908" s="2"/>
      <c r="J908" s="2">
        <v>0</v>
      </c>
      <c r="K908" s="2"/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6">
        <f t="shared" ref="Q908" si="1985">+L908-M908-N908+P908</f>
        <v>0</v>
      </c>
      <c r="R908" s="3"/>
      <c r="S908" s="3">
        <v>0</v>
      </c>
      <c r="T908" s="3">
        <v>0</v>
      </c>
      <c r="U908" s="3"/>
      <c r="V908" s="3">
        <v>0</v>
      </c>
      <c r="W908" s="3"/>
      <c r="X908" s="2">
        <f t="shared" ref="X908" si="1986">+S908+T908++U908+V908-W908</f>
        <v>0</v>
      </c>
      <c r="Y908" s="6">
        <f t="shared" ref="Y908" si="1987">+Q908-X908</f>
        <v>0</v>
      </c>
      <c r="Z908" s="6">
        <f>+Y908</f>
        <v>0</v>
      </c>
      <c r="AA908" s="2"/>
      <c r="AB908" s="2"/>
      <c r="AC908" s="3"/>
      <c r="AD908" s="2"/>
      <c r="AE908" s="2"/>
      <c r="AF908" s="2"/>
      <c r="AG908" s="2"/>
      <c r="AH908" s="2" t="s">
        <v>2740</v>
      </c>
      <c r="AI908" s="2" t="s">
        <v>2739</v>
      </c>
      <c r="AJ908" s="2"/>
      <c r="AK908" s="2"/>
      <c r="AL908" s="2"/>
      <c r="AM908" s="5" t="s">
        <v>4416</v>
      </c>
      <c r="AN908" s="2"/>
      <c r="AO908" s="2" t="s">
        <v>3095</v>
      </c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</row>
    <row r="909" spans="2:58" ht="17.25" customHeight="1">
      <c r="C909" s="1">
        <v>43944</v>
      </c>
      <c r="E909" s="2" t="s">
        <v>2686</v>
      </c>
      <c r="F909" s="2"/>
      <c r="G909" s="2" t="s">
        <v>2730</v>
      </c>
      <c r="H909" s="2" t="s">
        <v>2731</v>
      </c>
      <c r="I909" s="2"/>
      <c r="J909" s="2">
        <v>2</v>
      </c>
      <c r="K909" s="2"/>
      <c r="L909" s="3">
        <v>65</v>
      </c>
      <c r="M909" s="3">
        <v>6.5</v>
      </c>
      <c r="N909" s="3">
        <v>3.39</v>
      </c>
      <c r="O909" s="3">
        <f>5.2</f>
        <v>5.2</v>
      </c>
      <c r="P909" s="3">
        <f>5.2-5.2</f>
        <v>0</v>
      </c>
      <c r="Q909" s="6">
        <f t="shared" ref="Q909:Q911" si="1988">+L909-M909-N909+P909</f>
        <v>55.11</v>
      </c>
      <c r="R909" s="3"/>
      <c r="S909" s="3">
        <v>29.98</v>
      </c>
      <c r="T909" s="3">
        <v>2.16</v>
      </c>
      <c r="U909" s="3">
        <v>0</v>
      </c>
      <c r="V909" s="3">
        <v>0</v>
      </c>
      <c r="W909" s="3">
        <v>3</v>
      </c>
      <c r="X909" s="2">
        <f t="shared" ref="X909:X910" si="1989">+S909+T909++U909+V909-W909</f>
        <v>29.14</v>
      </c>
      <c r="Y909" s="6">
        <f t="shared" ref="Y909:Y910" si="1990">+Q909-X909</f>
        <v>25.97</v>
      </c>
      <c r="Z909" s="2"/>
      <c r="AA909" s="2"/>
      <c r="AB909" s="2"/>
      <c r="AC909" s="3"/>
      <c r="AD909" s="2"/>
      <c r="AE909" s="2"/>
      <c r="AF909" s="2"/>
      <c r="AG909" s="2"/>
      <c r="AH909" s="2" t="s">
        <v>2733</v>
      </c>
      <c r="AI909" s="2" t="s">
        <v>2732</v>
      </c>
      <c r="AJ909" s="2"/>
      <c r="AK909" s="2"/>
      <c r="AL909" s="2" t="s">
        <v>2922</v>
      </c>
      <c r="AM909" s="2" t="s">
        <v>3463</v>
      </c>
      <c r="AN909" s="2"/>
      <c r="AO909" s="2" t="s">
        <v>3153</v>
      </c>
      <c r="AP909" s="2" t="s">
        <v>3154</v>
      </c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</row>
    <row r="910" spans="2:58" ht="17.25" customHeight="1">
      <c r="C910" s="1">
        <v>43944</v>
      </c>
      <c r="E910" s="2" t="s">
        <v>2024</v>
      </c>
      <c r="F910" s="2"/>
      <c r="G910" s="2" t="s">
        <v>2734</v>
      </c>
      <c r="H910" s="2" t="s">
        <v>2735</v>
      </c>
      <c r="I910" s="2"/>
      <c r="J910" s="2">
        <v>1</v>
      </c>
      <c r="K910" s="2"/>
      <c r="L910" s="3">
        <v>53.95</v>
      </c>
      <c r="M910" s="3">
        <v>5.39</v>
      </c>
      <c r="N910" s="3">
        <v>2.91</v>
      </c>
      <c r="O910" s="3"/>
      <c r="P910" s="3">
        <v>5.4</v>
      </c>
      <c r="Q910" s="6">
        <f t="shared" si="1988"/>
        <v>51.050000000000004</v>
      </c>
      <c r="R910" s="3"/>
      <c r="S910" s="3">
        <v>34.020000000000003</v>
      </c>
      <c r="T910" s="3">
        <v>2.38</v>
      </c>
      <c r="U910" s="3"/>
      <c r="V910" s="3">
        <v>1.08</v>
      </c>
      <c r="W910" s="3"/>
      <c r="X910" s="2">
        <f t="shared" si="1989"/>
        <v>37.480000000000004</v>
      </c>
      <c r="Y910" s="6">
        <f t="shared" si="1990"/>
        <v>13.57</v>
      </c>
      <c r="Z910" s="6">
        <f>+Y910</f>
        <v>13.57</v>
      </c>
      <c r="AA910" s="2"/>
      <c r="AB910" s="2"/>
      <c r="AC910" s="3"/>
      <c r="AD910" s="2"/>
      <c r="AE910" s="2"/>
      <c r="AF910" s="2"/>
      <c r="AG910" s="2"/>
      <c r="AH910" s="2" t="s">
        <v>2737</v>
      </c>
      <c r="AI910" s="2" t="s">
        <v>2736</v>
      </c>
      <c r="AJ910" s="2"/>
      <c r="AK910" s="2"/>
      <c r="AL910" s="2" t="s">
        <v>2926</v>
      </c>
      <c r="AM910" s="16" t="s">
        <v>2930</v>
      </c>
      <c r="AN910" s="2"/>
      <c r="AO910" s="2" t="s">
        <v>2806</v>
      </c>
      <c r="AP910" s="2" t="s">
        <v>2805</v>
      </c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</row>
    <row r="911" spans="2:58" ht="17.25" customHeight="1">
      <c r="C911" s="1">
        <v>43944</v>
      </c>
      <c r="E911" s="2" t="s">
        <v>34</v>
      </c>
      <c r="F911" s="2"/>
      <c r="G911" s="2" t="s">
        <v>2715</v>
      </c>
      <c r="H911" s="2" t="s">
        <v>4308</v>
      </c>
      <c r="I911" s="2"/>
      <c r="J911" s="2">
        <v>1</v>
      </c>
      <c r="K911" s="2"/>
      <c r="L911" s="3">
        <v>32</v>
      </c>
      <c r="M911" s="3">
        <v>3.2</v>
      </c>
      <c r="N911" s="3">
        <v>1.71</v>
      </c>
      <c r="O911" s="3"/>
      <c r="P911" s="3">
        <v>0</v>
      </c>
      <c r="Q911" s="6">
        <f t="shared" si="1988"/>
        <v>27.09</v>
      </c>
      <c r="R911" s="3"/>
      <c r="S911" s="3">
        <v>17.98</v>
      </c>
      <c r="T911" s="3">
        <v>1.79</v>
      </c>
      <c r="U911" s="3"/>
      <c r="V911" s="3"/>
      <c r="W911" s="3"/>
      <c r="X911" s="2">
        <f t="shared" ref="X911" si="1991">+S911+T911++U911+V911-W911</f>
        <v>19.77</v>
      </c>
      <c r="Y911" s="6">
        <f t="shared" ref="Y911" si="1992">+Q911-X911</f>
        <v>7.32</v>
      </c>
      <c r="Z911" s="2"/>
      <c r="AA911" s="2"/>
      <c r="AB911" s="2"/>
      <c r="AC911" s="3"/>
      <c r="AD911" s="2"/>
      <c r="AE911" s="2"/>
      <c r="AF911" s="2"/>
      <c r="AG911" s="2"/>
      <c r="AH911" s="2" t="s">
        <v>2717</v>
      </c>
      <c r="AI911" s="2" t="s">
        <v>2716</v>
      </c>
      <c r="AJ911" s="2"/>
      <c r="AK911" s="2"/>
      <c r="AL911" s="2" t="s">
        <v>2915</v>
      </c>
      <c r="AM911" s="2" t="s">
        <v>4307</v>
      </c>
      <c r="AN911" s="2"/>
      <c r="AO911" s="2" t="s">
        <v>3069</v>
      </c>
      <c r="AP911" s="2"/>
      <c r="AQ911" s="2"/>
      <c r="AR911" s="16" t="s">
        <v>3269</v>
      </c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</row>
    <row r="912" spans="2:58" ht="17.25" customHeight="1">
      <c r="C912" s="1">
        <v>43944</v>
      </c>
      <c r="E912" s="2" t="s">
        <v>2024</v>
      </c>
      <c r="F912" s="2"/>
      <c r="G912" s="2" t="s">
        <v>2711</v>
      </c>
      <c r="H912" s="2" t="s">
        <v>2712</v>
      </c>
      <c r="I912" s="2"/>
      <c r="J912" s="2">
        <v>1</v>
      </c>
      <c r="K912" s="2"/>
      <c r="L912" s="3">
        <v>53.95</v>
      </c>
      <c r="M912" s="3">
        <v>5.39</v>
      </c>
      <c r="N912" s="3">
        <v>2.84</v>
      </c>
      <c r="O912" s="3"/>
      <c r="P912" s="3">
        <v>3.78</v>
      </c>
      <c r="Q912" s="6">
        <f t="shared" ref="Q912" si="1993">+L912-M912-N912+P912</f>
        <v>49.5</v>
      </c>
      <c r="R912" s="3"/>
      <c r="S912" s="3">
        <v>31.98</v>
      </c>
      <c r="T912" s="3">
        <v>2.2400000000000002</v>
      </c>
      <c r="U912" s="3"/>
      <c r="V912" s="3"/>
      <c r="W912" s="3"/>
      <c r="X912" s="2">
        <f t="shared" ref="X912" si="1994">+S912+T912++U912+V912-W912</f>
        <v>34.22</v>
      </c>
      <c r="Y912" s="6">
        <f t="shared" ref="Y912" si="1995">+Q912-X912</f>
        <v>15.280000000000001</v>
      </c>
      <c r="Z912" s="6">
        <f>+Y912</f>
        <v>15.280000000000001</v>
      </c>
      <c r="AA912" s="2"/>
      <c r="AB912" s="2"/>
      <c r="AC912" s="3"/>
      <c r="AD912" s="2"/>
      <c r="AE912" s="2"/>
      <c r="AF912" s="2"/>
      <c r="AG912" s="2"/>
      <c r="AH912" s="2" t="s">
        <v>2714</v>
      </c>
      <c r="AI912" s="2" t="s">
        <v>2713</v>
      </c>
      <c r="AJ912" s="2"/>
      <c r="AK912" s="2"/>
      <c r="AL912" s="2" t="s">
        <v>2926</v>
      </c>
      <c r="AM912" s="16" t="s">
        <v>2927</v>
      </c>
      <c r="AN912" s="2"/>
      <c r="AO912" s="2" t="s">
        <v>2809</v>
      </c>
      <c r="AP912" s="2" t="s">
        <v>2805</v>
      </c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</row>
    <row r="913" spans="3:58" ht="17.25" customHeight="1">
      <c r="C913" s="1">
        <v>43944</v>
      </c>
      <c r="E913" s="2" t="s">
        <v>2536</v>
      </c>
      <c r="F913" s="2"/>
      <c r="G913" s="2" t="s">
        <v>2707</v>
      </c>
      <c r="H913" s="2" t="s">
        <v>2708</v>
      </c>
      <c r="I913" s="2"/>
      <c r="J913" s="2">
        <v>1</v>
      </c>
      <c r="K913" s="2"/>
      <c r="L913" s="3">
        <v>83.5</v>
      </c>
      <c r="M913" s="3">
        <v>8.35</v>
      </c>
      <c r="N913" s="3">
        <v>4.1900000000000004</v>
      </c>
      <c r="O913" s="3">
        <f>5.01-5.01</f>
        <v>0</v>
      </c>
      <c r="P913" s="3">
        <f>5.01</f>
        <v>5.01</v>
      </c>
      <c r="Q913" s="6">
        <f t="shared" ref="Q913" si="1996">+L913-M913-N913+P913</f>
        <v>75.970000000000013</v>
      </c>
      <c r="R913" s="3"/>
      <c r="S913" s="3">
        <v>65.19</v>
      </c>
      <c r="T913" s="3">
        <v>3.91</v>
      </c>
      <c r="U913" s="3"/>
      <c r="V913" s="3"/>
      <c r="W913" s="3">
        <v>6.51</v>
      </c>
      <c r="X913" s="2">
        <f t="shared" ref="X913" si="1997">+S913+T913++U913+V913-W913</f>
        <v>62.589999999999996</v>
      </c>
      <c r="Y913" s="6">
        <f t="shared" ref="Y913" si="1998">+Q913-X913</f>
        <v>13.380000000000017</v>
      </c>
      <c r="Z913" s="6" t="s">
        <v>2674</v>
      </c>
      <c r="AA913" s="6">
        <f>+Y913</f>
        <v>13.380000000000017</v>
      </c>
      <c r="AB913" s="2"/>
      <c r="AC913" s="3"/>
      <c r="AD913" s="2"/>
      <c r="AE913" s="2"/>
      <c r="AF913" s="2"/>
      <c r="AG913" s="2"/>
      <c r="AH913" s="2" t="s">
        <v>2710</v>
      </c>
      <c r="AI913" s="2" t="s">
        <v>2709</v>
      </c>
      <c r="AJ913" s="2"/>
      <c r="AK913" s="2"/>
      <c r="AL913" s="2"/>
      <c r="AM913" s="2"/>
      <c r="AN913" s="2"/>
      <c r="AO913" s="2" t="s">
        <v>2760</v>
      </c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</row>
    <row r="914" spans="3:58" ht="17.25" customHeight="1">
      <c r="C914" s="1">
        <v>43943</v>
      </c>
      <c r="E914" s="2" t="s">
        <v>2698</v>
      </c>
      <c r="F914" s="2"/>
      <c r="G914" s="2" t="s">
        <v>2699</v>
      </c>
      <c r="H914" s="2" t="s">
        <v>2700</v>
      </c>
      <c r="I914" s="2"/>
      <c r="J914" s="2">
        <v>1</v>
      </c>
      <c r="K914" s="2"/>
      <c r="L914" s="3">
        <v>36.700000000000003</v>
      </c>
      <c r="M914" s="3">
        <v>3.67</v>
      </c>
      <c r="N914" s="3">
        <v>2.0299999999999998</v>
      </c>
      <c r="O914" s="3"/>
      <c r="P914" s="3">
        <v>2.66</v>
      </c>
      <c r="Q914" s="6">
        <f t="shared" ref="Q914:Q917" si="1999">+L914-M914-N914+P914</f>
        <v>33.659999999999997</v>
      </c>
      <c r="R914" s="3"/>
      <c r="S914" s="3">
        <v>26.99</v>
      </c>
      <c r="T914" s="3"/>
      <c r="U914" s="3"/>
      <c r="V914" s="3"/>
      <c r="W914" s="3"/>
      <c r="X914" s="2">
        <f t="shared" ref="X914" si="2000">+S914+T914++U914+V914-W914</f>
        <v>26.99</v>
      </c>
      <c r="Y914" s="6">
        <f t="shared" ref="Y914" si="2001">+Q914-X914</f>
        <v>6.6699999999999982</v>
      </c>
      <c r="Z914" s="2"/>
      <c r="AA914" s="2"/>
      <c r="AB914" s="2"/>
      <c r="AC914" s="3"/>
      <c r="AD914" s="2"/>
      <c r="AE914" s="2"/>
      <c r="AF914" s="2"/>
      <c r="AG914" s="2"/>
      <c r="AH914" s="2" t="s">
        <v>2702</v>
      </c>
      <c r="AI914" s="2" t="s">
        <v>2701</v>
      </c>
      <c r="AJ914" s="2"/>
      <c r="AK914" s="2"/>
      <c r="AL914" s="2" t="s">
        <v>2926</v>
      </c>
      <c r="AM914" s="16" t="s">
        <v>3226</v>
      </c>
      <c r="AN914" s="2"/>
      <c r="AO914" s="2" t="s">
        <v>2870</v>
      </c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</row>
    <row r="915" spans="3:58" ht="17.25" customHeight="1">
      <c r="C915" s="1">
        <v>43943</v>
      </c>
      <c r="E915" s="2" t="s">
        <v>2842</v>
      </c>
      <c r="F915" s="2"/>
      <c r="G915" s="2" t="s">
        <v>2694</v>
      </c>
      <c r="H915" s="2" t="s">
        <v>2695</v>
      </c>
      <c r="I915" s="2"/>
      <c r="J915" s="2">
        <v>1</v>
      </c>
      <c r="K915" s="2"/>
      <c r="L915" s="3">
        <v>35.75</v>
      </c>
      <c r="M915" s="3">
        <v>3.57</v>
      </c>
      <c r="N915" s="3">
        <v>2.04</v>
      </c>
      <c r="O915" s="3">
        <f>3.72</f>
        <v>3.72</v>
      </c>
      <c r="P915" s="3">
        <f>3.72-3.72</f>
        <v>0</v>
      </c>
      <c r="Q915" s="6">
        <f t="shared" si="1999"/>
        <v>30.14</v>
      </c>
      <c r="R915" s="3"/>
      <c r="S915" s="3">
        <v>21.78</v>
      </c>
      <c r="T915" s="3">
        <v>2.2599999999999998</v>
      </c>
      <c r="U915" s="3">
        <v>5</v>
      </c>
      <c r="V915" s="3"/>
      <c r="W915" s="3"/>
      <c r="X915" s="2">
        <f t="shared" ref="X915" si="2002">+S915+T915++U915+V915-W915</f>
        <v>29.04</v>
      </c>
      <c r="Y915" s="6">
        <f t="shared" ref="Y915" si="2003">+Q915-X915</f>
        <v>1.1000000000000014</v>
      </c>
      <c r="Z915" s="2"/>
      <c r="AA915" s="2"/>
      <c r="AB915" s="2"/>
      <c r="AC915" s="3"/>
      <c r="AD915" s="2"/>
      <c r="AE915" s="2"/>
      <c r="AF915" s="2"/>
      <c r="AG915" s="2"/>
      <c r="AH915" s="2" t="s">
        <v>2697</v>
      </c>
      <c r="AI915" s="2" t="s">
        <v>2696</v>
      </c>
      <c r="AJ915" s="2"/>
      <c r="AK915" s="2"/>
      <c r="AL915" s="2" t="s">
        <v>2915</v>
      </c>
      <c r="AM915" s="2" t="s">
        <v>2914</v>
      </c>
      <c r="AN915" s="2"/>
      <c r="AO915" s="2" t="s">
        <v>2913</v>
      </c>
      <c r="AP915" s="2" t="s">
        <v>2916</v>
      </c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</row>
    <row r="916" spans="3:58" ht="17.25" customHeight="1">
      <c r="C916" s="1">
        <v>43943</v>
      </c>
      <c r="E916" s="2" t="s">
        <v>2686</v>
      </c>
      <c r="F916" s="2"/>
      <c r="G916" s="2" t="s">
        <v>2691</v>
      </c>
      <c r="H916" s="2" t="s">
        <v>2814</v>
      </c>
      <c r="I916" s="2"/>
      <c r="J916" s="2">
        <v>0</v>
      </c>
      <c r="K916" s="2"/>
      <c r="L916" s="3">
        <v>0</v>
      </c>
      <c r="M916" s="3">
        <v>0</v>
      </c>
      <c r="N916" s="3">
        <v>0</v>
      </c>
      <c r="O916" s="3">
        <f>1.95</f>
        <v>1.95</v>
      </c>
      <c r="P916" s="3">
        <f>1.95-1.95</f>
        <v>0</v>
      </c>
      <c r="Q916" s="6">
        <f t="shared" si="1999"/>
        <v>0</v>
      </c>
      <c r="R916" s="3"/>
      <c r="S916" s="3">
        <v>0</v>
      </c>
      <c r="T916" s="3">
        <v>0</v>
      </c>
      <c r="U916" s="3">
        <v>0</v>
      </c>
      <c r="V916" s="3"/>
      <c r="W916" s="3"/>
      <c r="X916" s="2">
        <f t="shared" ref="X916" si="2004">+S916+T916++U916+V916-W916</f>
        <v>0</v>
      </c>
      <c r="Y916" s="6">
        <f t="shared" ref="Y916" si="2005">+Q916-X916</f>
        <v>0</v>
      </c>
      <c r="Z916" s="2"/>
      <c r="AA916" s="2"/>
      <c r="AB916" s="2"/>
      <c r="AC916" s="3"/>
      <c r="AD916" s="2"/>
      <c r="AE916" s="2"/>
      <c r="AF916" s="2"/>
      <c r="AG916" s="2"/>
      <c r="AH916" s="2" t="s">
        <v>2693</v>
      </c>
      <c r="AI916" s="2" t="s">
        <v>2692</v>
      </c>
      <c r="AJ916" s="2"/>
      <c r="AK916" s="2"/>
      <c r="AL916" s="2"/>
      <c r="AM916" s="2"/>
      <c r="AN916" s="2"/>
      <c r="AO916" s="5" t="s">
        <v>2843</v>
      </c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</row>
    <row r="917" spans="3:58" ht="17.25" customHeight="1">
      <c r="C917" s="1">
        <v>43943</v>
      </c>
      <c r="E917" s="2" t="s">
        <v>2685</v>
      </c>
      <c r="F917" s="2"/>
      <c r="G917" s="2" t="s">
        <v>2687</v>
      </c>
      <c r="H917" s="2" t="s">
        <v>2688</v>
      </c>
      <c r="I917" s="2"/>
      <c r="J917" s="2">
        <v>1</v>
      </c>
      <c r="K917" s="2"/>
      <c r="L917" s="3">
        <v>83.5</v>
      </c>
      <c r="M917" s="3">
        <v>8.35</v>
      </c>
      <c r="N917" s="3">
        <v>1.1599999999999999</v>
      </c>
      <c r="O917" s="3">
        <f>4.28</f>
        <v>4.28</v>
      </c>
      <c r="P917" s="3">
        <f>4.28-4.28</f>
        <v>0</v>
      </c>
      <c r="Q917" s="6">
        <f t="shared" si="1999"/>
        <v>73.990000000000009</v>
      </c>
      <c r="R917" s="3"/>
      <c r="S917" s="3">
        <v>65.19</v>
      </c>
      <c r="T917" s="3">
        <v>3.91</v>
      </c>
      <c r="U917" s="3"/>
      <c r="V917" s="3"/>
      <c r="W917" s="3">
        <v>6.51</v>
      </c>
      <c r="X917" s="2">
        <f t="shared" ref="X917" si="2006">+S917+T917++U917+V917-W917</f>
        <v>62.589999999999996</v>
      </c>
      <c r="Y917" s="6">
        <f t="shared" ref="Y917" si="2007">+Q917-X917</f>
        <v>11.400000000000013</v>
      </c>
      <c r="Z917" s="2"/>
      <c r="AA917" s="6">
        <f>+Y917</f>
        <v>11.400000000000013</v>
      </c>
      <c r="AB917" s="2"/>
      <c r="AC917" s="3"/>
      <c r="AD917" s="2"/>
      <c r="AE917" s="2"/>
      <c r="AF917" s="2"/>
      <c r="AG917" s="2"/>
      <c r="AH917" s="2" t="s">
        <v>2690</v>
      </c>
      <c r="AI917" s="2" t="s">
        <v>2689</v>
      </c>
      <c r="AJ917" s="2"/>
      <c r="AK917" s="2"/>
      <c r="AL917" s="2"/>
      <c r="AM917" s="2"/>
      <c r="AN917" s="2"/>
      <c r="AO917" s="2" t="s">
        <v>2759</v>
      </c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</row>
    <row r="918" spans="3:58" ht="17.25" customHeight="1">
      <c r="C918" s="1">
        <v>43943</v>
      </c>
      <c r="E918" s="2" t="s">
        <v>2667</v>
      </c>
      <c r="F918" s="2"/>
      <c r="G918" s="2" t="s">
        <v>2681</v>
      </c>
      <c r="H918" s="2" t="s">
        <v>2682</v>
      </c>
      <c r="I918" s="2"/>
      <c r="J918" s="2">
        <v>1</v>
      </c>
      <c r="K918" s="2"/>
      <c r="L918" s="3">
        <v>25.2</v>
      </c>
      <c r="M918" s="3">
        <v>2.52</v>
      </c>
      <c r="N918" s="3">
        <v>1.48</v>
      </c>
      <c r="O918" s="3">
        <f>1.58</f>
        <v>1.58</v>
      </c>
      <c r="P918" s="3">
        <f>1.58-1.58</f>
        <v>0</v>
      </c>
      <c r="Q918" s="6">
        <f t="shared" ref="Q918:Q920" si="2008">+L918-M918-N918+P918</f>
        <v>21.2</v>
      </c>
      <c r="R918" s="3"/>
      <c r="S918" s="3">
        <v>17.95</v>
      </c>
      <c r="T918" s="3">
        <v>1.1200000000000001</v>
      </c>
      <c r="U918" s="3"/>
      <c r="V918" s="3"/>
      <c r="W918" s="3"/>
      <c r="X918" s="2">
        <f t="shared" ref="X918" si="2009">+S918+T918++U918+V918-W918</f>
        <v>19.07</v>
      </c>
      <c r="Y918" s="6">
        <f t="shared" ref="Y918" si="2010">+Q918-X918</f>
        <v>2.129999999999999</v>
      </c>
      <c r="Z918" s="2"/>
      <c r="AA918" s="2"/>
      <c r="AB918" s="2"/>
      <c r="AC918" s="3"/>
      <c r="AD918" s="2"/>
      <c r="AE918" s="2"/>
      <c r="AF918" s="2"/>
      <c r="AG918" s="2"/>
      <c r="AH918" s="2" t="s">
        <v>2684</v>
      </c>
      <c r="AI918" s="2" t="s">
        <v>2683</v>
      </c>
      <c r="AJ918" s="2"/>
      <c r="AK918" s="2"/>
      <c r="AL918" s="2" t="s">
        <v>3247</v>
      </c>
      <c r="AM918" s="2" t="s">
        <v>3087</v>
      </c>
      <c r="AN918" s="2"/>
      <c r="AO918" s="2" t="s">
        <v>2722</v>
      </c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</row>
    <row r="919" spans="3:58" ht="17.25" customHeight="1">
      <c r="C919" s="1">
        <v>43943</v>
      </c>
      <c r="E919" s="2" t="s">
        <v>2666</v>
      </c>
      <c r="F919" s="2"/>
      <c r="G919" s="2" t="s">
        <v>2677</v>
      </c>
      <c r="H919" s="2" t="s">
        <v>2678</v>
      </c>
      <c r="I919" s="2"/>
      <c r="J919" s="2">
        <v>1</v>
      </c>
      <c r="K919" s="2"/>
      <c r="L919" s="3">
        <v>18.2</v>
      </c>
      <c r="M919" s="3">
        <v>1.82</v>
      </c>
      <c r="N919" s="3">
        <v>1.1599999999999999</v>
      </c>
      <c r="O919" s="3">
        <f>1.27</f>
        <v>1.27</v>
      </c>
      <c r="P919" s="3">
        <f>1.27-1.27</f>
        <v>0</v>
      </c>
      <c r="Q919" s="6">
        <f t="shared" si="2008"/>
        <v>15.219999999999999</v>
      </c>
      <c r="R919" s="3"/>
      <c r="S919" s="3">
        <v>12.3</v>
      </c>
      <c r="T919" s="3">
        <v>0.86</v>
      </c>
      <c r="U919" s="3"/>
      <c r="V919" s="3"/>
      <c r="W919" s="3"/>
      <c r="X919" s="2">
        <f t="shared" ref="X919" si="2011">+S919+T919++U919+V919-W919</f>
        <v>13.16</v>
      </c>
      <c r="Y919" s="6">
        <f t="shared" ref="Y919" si="2012">+Q919-X919</f>
        <v>2.0599999999999987</v>
      </c>
      <c r="Z919" s="2"/>
      <c r="AA919" s="2"/>
      <c r="AB919" s="2"/>
      <c r="AC919" s="3"/>
      <c r="AD919" s="2"/>
      <c r="AE919" s="2"/>
      <c r="AF919" s="2"/>
      <c r="AG919" s="2"/>
      <c r="AH919" s="2" t="s">
        <v>2680</v>
      </c>
      <c r="AI919" s="2" t="s">
        <v>2679</v>
      </c>
      <c r="AJ919" s="2"/>
      <c r="AK919" s="2"/>
      <c r="AL919" s="2"/>
      <c r="AM919" s="2"/>
      <c r="AN919" s="2"/>
      <c r="AO919" s="2" t="s">
        <v>2721</v>
      </c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</row>
    <row r="920" spans="3:58" ht="17.25" customHeight="1">
      <c r="C920" s="1">
        <v>43943</v>
      </c>
      <c r="E920" s="2" t="s">
        <v>2024</v>
      </c>
      <c r="F920" s="2"/>
      <c r="G920" s="2" t="s">
        <v>2672</v>
      </c>
      <c r="H920" s="2" t="s">
        <v>2673</v>
      </c>
      <c r="I920" s="2"/>
      <c r="J920" s="2">
        <v>1</v>
      </c>
      <c r="K920" s="2"/>
      <c r="L920" s="3">
        <v>53.95</v>
      </c>
      <c r="M920" s="3">
        <v>5.39</v>
      </c>
      <c r="N920" s="3">
        <v>2.67</v>
      </c>
      <c r="O920" s="3">
        <v>0</v>
      </c>
      <c r="P920" s="3">
        <v>0</v>
      </c>
      <c r="Q920" s="6">
        <f t="shared" si="2008"/>
        <v>45.89</v>
      </c>
      <c r="R920" s="3"/>
      <c r="S920" s="3">
        <v>36.99</v>
      </c>
      <c r="T920" s="3">
        <v>4.25</v>
      </c>
      <c r="U920" s="3"/>
      <c r="V920" s="3">
        <v>1.08</v>
      </c>
      <c r="W920" s="3"/>
      <c r="X920" s="2">
        <f t="shared" ref="X920" si="2013">+S920+T920++U920+V920-W920</f>
        <v>42.32</v>
      </c>
      <c r="Y920" s="6">
        <f t="shared" ref="Y920" si="2014">+Q920-X920</f>
        <v>3.5700000000000003</v>
      </c>
      <c r="Z920" s="6">
        <f>+Y920</f>
        <v>3.5700000000000003</v>
      </c>
      <c r="AA920" s="2"/>
      <c r="AB920" s="2"/>
      <c r="AC920" s="3"/>
      <c r="AD920" s="2"/>
      <c r="AE920" s="2"/>
      <c r="AF920" s="2"/>
      <c r="AG920" s="2"/>
      <c r="AH920" s="2" t="s">
        <v>2676</v>
      </c>
      <c r="AI920" s="2" t="s">
        <v>2675</v>
      </c>
      <c r="AJ920" s="2"/>
      <c r="AK920" s="2"/>
      <c r="AL920" s="2" t="s">
        <v>3247</v>
      </c>
      <c r="AM920" s="2" t="s">
        <v>3221</v>
      </c>
      <c r="AN920" s="2"/>
      <c r="AO920" s="2" t="s">
        <v>2762</v>
      </c>
      <c r="AP920" s="2" t="s">
        <v>3222</v>
      </c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</row>
    <row r="921" spans="3:58" ht="17.25" customHeight="1">
      <c r="C921" s="1">
        <v>43943</v>
      </c>
      <c r="E921" s="2" t="s">
        <v>61</v>
      </c>
      <c r="F921" s="2"/>
      <c r="G921" s="2" t="s">
        <v>2668</v>
      </c>
      <c r="H921" s="2" t="s">
        <v>2669</v>
      </c>
      <c r="I921" s="2"/>
      <c r="J921" s="2">
        <v>1</v>
      </c>
      <c r="K921" s="2"/>
      <c r="L921" s="3">
        <v>41.7</v>
      </c>
      <c r="M921" s="3">
        <v>4.17</v>
      </c>
      <c r="N921" s="3">
        <v>2.27</v>
      </c>
      <c r="O921" s="3">
        <f>3.02</f>
        <v>3.02</v>
      </c>
      <c r="P921" s="3">
        <f>3.02-3.02</f>
        <v>0</v>
      </c>
      <c r="Q921" s="6">
        <f t="shared" ref="Q921:Q922" si="2015">+L921-M921-N921+P921</f>
        <v>35.26</v>
      </c>
      <c r="R921" s="3"/>
      <c r="S921" s="3">
        <v>29</v>
      </c>
      <c r="T921" s="3">
        <v>2.1</v>
      </c>
      <c r="U921" s="3"/>
      <c r="V921" s="3"/>
      <c r="W921" s="3"/>
      <c r="X921" s="2">
        <f t="shared" ref="X921" si="2016">+S921+T921++U921+V921-W921</f>
        <v>31.1</v>
      </c>
      <c r="Y921" s="6">
        <f t="shared" ref="Y921" si="2017">+Q921-X921</f>
        <v>4.1599999999999966</v>
      </c>
      <c r="Z921" s="2"/>
      <c r="AA921" s="2"/>
      <c r="AB921" s="2"/>
      <c r="AC921" s="3"/>
      <c r="AD921" s="2"/>
      <c r="AE921" s="2"/>
      <c r="AF921" s="2"/>
      <c r="AG921" s="2"/>
      <c r="AH921" s="2" t="s">
        <v>2671</v>
      </c>
      <c r="AI921" s="2" t="s">
        <v>2670</v>
      </c>
      <c r="AJ921" s="2"/>
      <c r="AK921" s="2"/>
      <c r="AL921" s="2" t="s">
        <v>3248</v>
      </c>
      <c r="AM921" s="22" t="s">
        <v>3083</v>
      </c>
      <c r="AN921" s="2"/>
      <c r="AO921" s="2" t="s">
        <v>2706</v>
      </c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</row>
    <row r="922" spans="3:58" ht="17.25" customHeight="1">
      <c r="C922" s="1">
        <v>43943</v>
      </c>
      <c r="E922" s="2" t="s">
        <v>2024</v>
      </c>
      <c r="F922" s="2"/>
      <c r="G922" s="2" t="s">
        <v>2660</v>
      </c>
      <c r="H922" s="2" t="s">
        <v>2661</v>
      </c>
      <c r="I922" s="2"/>
      <c r="J922" s="2">
        <v>1</v>
      </c>
      <c r="K922" s="2"/>
      <c r="L922" s="3">
        <v>53.95</v>
      </c>
      <c r="M922" s="3">
        <v>5.39</v>
      </c>
      <c r="N922" s="3">
        <v>2.84</v>
      </c>
      <c r="O922" s="3"/>
      <c r="P922" s="3">
        <v>3.78</v>
      </c>
      <c r="Q922" s="6">
        <f t="shared" si="2015"/>
        <v>49.5</v>
      </c>
      <c r="R922" s="3"/>
      <c r="S922" s="3">
        <v>31.98</v>
      </c>
      <c r="T922" s="3">
        <v>2.2400000000000002</v>
      </c>
      <c r="U922" s="3"/>
      <c r="V922" s="3"/>
      <c r="W922" s="3"/>
      <c r="X922" s="2">
        <f t="shared" ref="X922" si="2018">+S922+T922++U922+V922-W922</f>
        <v>34.22</v>
      </c>
      <c r="Y922" s="6">
        <f t="shared" ref="Y922" si="2019">+Q922-X922</f>
        <v>15.280000000000001</v>
      </c>
      <c r="Z922" s="6">
        <f>+Y922</f>
        <v>15.280000000000001</v>
      </c>
      <c r="AA922" s="2"/>
      <c r="AB922" s="2"/>
      <c r="AC922" s="3"/>
      <c r="AD922" s="2"/>
      <c r="AE922" s="2"/>
      <c r="AF922" s="2"/>
      <c r="AG922" s="2"/>
      <c r="AH922" s="2" t="s">
        <v>2663</v>
      </c>
      <c r="AI922" s="2" t="s">
        <v>2662</v>
      </c>
      <c r="AJ922" s="2"/>
      <c r="AK922" s="2"/>
      <c r="AL922" s="2" t="s">
        <v>3086</v>
      </c>
      <c r="AM922" s="16" t="s">
        <v>3085</v>
      </c>
      <c r="AN922" s="2"/>
      <c r="AO922" s="2" t="s">
        <v>2729</v>
      </c>
      <c r="AP922" s="2" t="s">
        <v>2748</v>
      </c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</row>
    <row r="923" spans="3:58" ht="17.25" customHeight="1">
      <c r="C923" s="1">
        <v>43943</v>
      </c>
      <c r="E923" s="2" t="s">
        <v>2024</v>
      </c>
      <c r="F923" s="2"/>
      <c r="G923" s="2" t="s">
        <v>2651</v>
      </c>
      <c r="H923" s="2" t="s">
        <v>2652</v>
      </c>
      <c r="I923" s="2"/>
      <c r="J923" s="2">
        <v>1</v>
      </c>
      <c r="K923" s="2"/>
      <c r="L923" s="3">
        <v>53.95</v>
      </c>
      <c r="M923" s="3">
        <v>5.39</v>
      </c>
      <c r="N923" s="3">
        <v>2.84</v>
      </c>
      <c r="O923" s="3">
        <f>3.78</f>
        <v>3.78</v>
      </c>
      <c r="P923" s="3">
        <f>3.78-3.78</f>
        <v>0</v>
      </c>
      <c r="Q923" s="6">
        <f t="shared" ref="Q923" si="2020">+L923-M923-N923+P923</f>
        <v>45.72</v>
      </c>
      <c r="R923" s="3"/>
      <c r="S923" s="3">
        <v>31.98</v>
      </c>
      <c r="T923" s="3">
        <v>2.2400000000000002</v>
      </c>
      <c r="U923" s="3"/>
      <c r="V923" s="3"/>
      <c r="W923" s="3"/>
      <c r="X923" s="2">
        <f t="shared" ref="X923" si="2021">+S923+T923++U923+V923-W923</f>
        <v>34.22</v>
      </c>
      <c r="Y923" s="6">
        <f t="shared" ref="Y923" si="2022">+Q923-X923</f>
        <v>11.5</v>
      </c>
      <c r="Z923" s="6">
        <f>+Y923</f>
        <v>11.5</v>
      </c>
      <c r="AA923" s="2"/>
      <c r="AB923" s="2"/>
      <c r="AC923" s="3"/>
      <c r="AD923" s="2"/>
      <c r="AE923" s="2"/>
      <c r="AF923" s="2"/>
      <c r="AG923" s="2"/>
      <c r="AH923" s="2" t="s">
        <v>2665</v>
      </c>
      <c r="AI923" s="2" t="s">
        <v>2664</v>
      </c>
      <c r="AJ923" s="2"/>
      <c r="AK923" s="2"/>
      <c r="AL923" s="2" t="s">
        <v>4735</v>
      </c>
      <c r="AM923" s="16" t="s">
        <v>4734</v>
      </c>
      <c r="AN923" s="2"/>
      <c r="AO923" s="2" t="s">
        <v>2728</v>
      </c>
      <c r="AP923" s="2" t="s">
        <v>2749</v>
      </c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</row>
    <row r="924" spans="3:58" ht="17.25" customHeight="1">
      <c r="C924" s="1">
        <v>43943</v>
      </c>
      <c r="E924" s="2" t="s">
        <v>60</v>
      </c>
      <c r="F924" s="2"/>
      <c r="G924" s="2" t="s">
        <v>2636</v>
      </c>
      <c r="H924" s="2" t="s">
        <v>2637</v>
      </c>
      <c r="I924" s="2"/>
      <c r="J924" s="2">
        <v>1</v>
      </c>
      <c r="K924" s="2"/>
      <c r="L924" s="3">
        <v>48.5</v>
      </c>
      <c r="M924" s="3">
        <v>4.8499999999999996</v>
      </c>
      <c r="N924" s="3">
        <v>2.6</v>
      </c>
      <c r="O924" s="3">
        <f>3.76</f>
        <v>3.76</v>
      </c>
      <c r="P924" s="3">
        <f>3.76-3.76</f>
        <v>0</v>
      </c>
      <c r="Q924" s="6">
        <f t="shared" ref="Q924:Q925" si="2023">+L924-M924-N924+P924</f>
        <v>41.05</v>
      </c>
      <c r="R924" s="3"/>
      <c r="S924" s="3">
        <v>34</v>
      </c>
      <c r="T924" s="3">
        <v>2.64</v>
      </c>
      <c r="U924" s="3"/>
      <c r="V924" s="3"/>
      <c r="W924" s="3"/>
      <c r="X924" s="2">
        <f t="shared" ref="X924" si="2024">+S924+T924++U924+V924-W924</f>
        <v>36.64</v>
      </c>
      <c r="Y924" s="6">
        <f t="shared" ref="Y924" si="2025">+Q924-X924</f>
        <v>4.4099999999999966</v>
      </c>
      <c r="Z924" s="6" t="s">
        <v>2674</v>
      </c>
      <c r="AA924" s="2"/>
      <c r="AB924" s="2"/>
      <c r="AC924" s="3"/>
      <c r="AD924" s="2"/>
      <c r="AE924" s="2"/>
      <c r="AF924" s="2"/>
      <c r="AG924" s="2"/>
      <c r="AH924" s="2" t="s">
        <v>2639</v>
      </c>
      <c r="AI924" s="2" t="s">
        <v>2638</v>
      </c>
      <c r="AJ924" s="2"/>
      <c r="AK924" s="2"/>
      <c r="AL924" s="2" t="s">
        <v>3249</v>
      </c>
      <c r="AM924" s="2" t="s">
        <v>3082</v>
      </c>
      <c r="AN924" s="2"/>
      <c r="AO924" s="2" t="s">
        <v>2705</v>
      </c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</row>
    <row r="925" spans="3:58" ht="17.25" customHeight="1">
      <c r="C925" s="1">
        <v>43942</v>
      </c>
      <c r="E925" s="2" t="s">
        <v>2631</v>
      </c>
      <c r="F925" s="2"/>
      <c r="G925" s="2" t="s">
        <v>2647</v>
      </c>
      <c r="H925" s="2" t="s">
        <v>2648</v>
      </c>
      <c r="I925" s="2"/>
      <c r="J925" s="2">
        <v>1</v>
      </c>
      <c r="K925" s="2"/>
      <c r="L925" s="3">
        <v>28</v>
      </c>
      <c r="M925" s="3">
        <v>2.8</v>
      </c>
      <c r="N925" s="3">
        <v>1.66</v>
      </c>
      <c r="O925" s="3">
        <f>2.87</f>
        <v>2.87</v>
      </c>
      <c r="P925" s="3">
        <f>2.87-2.87</f>
        <v>0</v>
      </c>
      <c r="Q925" s="6">
        <f t="shared" si="2023"/>
        <v>23.54</v>
      </c>
      <c r="R925" s="3"/>
      <c r="S925" s="3">
        <v>19.579999999999998</v>
      </c>
      <c r="T925" s="3">
        <v>2</v>
      </c>
      <c r="U925" s="3"/>
      <c r="V925" s="3"/>
      <c r="W925" s="3"/>
      <c r="X925" s="2">
        <f t="shared" ref="X925" si="2026">+S925+T925++U925+V925-W925</f>
        <v>21.58</v>
      </c>
      <c r="Y925" s="6">
        <f t="shared" ref="Y925" si="2027">+Q925-X925</f>
        <v>1.9600000000000009</v>
      </c>
      <c r="Z925" s="2"/>
      <c r="AA925" s="2"/>
      <c r="AB925" s="2"/>
      <c r="AC925" s="3"/>
      <c r="AD925" s="2"/>
      <c r="AE925" s="2"/>
      <c r="AF925" s="2"/>
      <c r="AG925" s="2"/>
      <c r="AH925" s="2" t="s">
        <v>2650</v>
      </c>
      <c r="AI925" s="2" t="s">
        <v>2649</v>
      </c>
      <c r="AJ925" s="2"/>
      <c r="AK925" s="2"/>
      <c r="AL925" s="2" t="s">
        <v>3249</v>
      </c>
      <c r="AM925" s="2" t="s">
        <v>3413</v>
      </c>
      <c r="AN925" s="2"/>
      <c r="AO925" s="2" t="s">
        <v>2720</v>
      </c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</row>
    <row r="926" spans="3:58" ht="17.25" customHeight="1">
      <c r="C926" s="1">
        <v>43942</v>
      </c>
      <c r="E926" s="2" t="s">
        <v>2630</v>
      </c>
      <c r="F926" s="2"/>
      <c r="G926" s="2" t="s">
        <v>2643</v>
      </c>
      <c r="H926" s="2" t="s">
        <v>2644</v>
      </c>
      <c r="I926" s="2"/>
      <c r="J926" s="2">
        <v>1</v>
      </c>
      <c r="K926" s="2"/>
      <c r="L926" s="3">
        <v>83.5</v>
      </c>
      <c r="M926" s="3">
        <v>8.35</v>
      </c>
      <c r="N926" s="3">
        <v>4.1900000000000004</v>
      </c>
      <c r="O926" s="3">
        <f>5.01</f>
        <v>5.01</v>
      </c>
      <c r="P926" s="3">
        <f>5.01-5.01</f>
        <v>0</v>
      </c>
      <c r="Q926" s="6">
        <f t="shared" ref="Q926" si="2028">+L926-M926-N926+P926</f>
        <v>70.960000000000008</v>
      </c>
      <c r="R926" s="3"/>
      <c r="S926" s="3">
        <v>65.19</v>
      </c>
      <c r="T926" s="3">
        <v>3.91</v>
      </c>
      <c r="U926" s="3"/>
      <c r="V926" s="3"/>
      <c r="W926" s="3">
        <v>6.51</v>
      </c>
      <c r="X926" s="2">
        <f t="shared" ref="X926" si="2029">+S926+T926++U926+V926-W926</f>
        <v>62.589999999999996</v>
      </c>
      <c r="Y926" s="6">
        <f t="shared" ref="Y926" si="2030">+Q926-X926</f>
        <v>8.3700000000000117</v>
      </c>
      <c r="Z926" s="2"/>
      <c r="AA926" s="6">
        <f>+Y926</f>
        <v>8.3700000000000117</v>
      </c>
      <c r="AB926" s="2"/>
      <c r="AC926" s="3"/>
      <c r="AD926" s="2"/>
      <c r="AE926" s="2"/>
      <c r="AF926" s="2"/>
      <c r="AG926" s="2"/>
      <c r="AH926" s="2" t="s">
        <v>2646</v>
      </c>
      <c r="AI926" s="2" t="s">
        <v>2645</v>
      </c>
      <c r="AJ926" s="2"/>
      <c r="AK926" s="2"/>
      <c r="AL926" s="2" t="s">
        <v>4254</v>
      </c>
      <c r="AM926" s="2"/>
      <c r="AN926" s="2"/>
      <c r="AO926" s="2" t="s">
        <v>2719</v>
      </c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</row>
    <row r="927" spans="3:58" ht="17.25" customHeight="1">
      <c r="C927" s="1">
        <v>43942</v>
      </c>
      <c r="E927" s="2" t="s">
        <v>2024</v>
      </c>
      <c r="F927" s="2"/>
      <c r="G927" s="2" t="s">
        <v>2626</v>
      </c>
      <c r="H927" s="2" t="s">
        <v>2627</v>
      </c>
      <c r="I927" s="2"/>
      <c r="J927" s="2">
        <v>1</v>
      </c>
      <c r="K927" s="2"/>
      <c r="L927" s="3">
        <v>53.95</v>
      </c>
      <c r="M927" s="3">
        <v>5.39</v>
      </c>
      <c r="N927" s="3">
        <v>2.67</v>
      </c>
      <c r="O927" s="3">
        <v>0</v>
      </c>
      <c r="P927" s="3">
        <v>0</v>
      </c>
      <c r="Q927" s="6">
        <f t="shared" ref="Q927:Q928" si="2031">+L927-M927-N927+P927</f>
        <v>45.89</v>
      </c>
      <c r="R927" s="3"/>
      <c r="S927" s="3">
        <v>36.99</v>
      </c>
      <c r="T927" s="3">
        <v>4.25</v>
      </c>
      <c r="U927" s="3"/>
      <c r="V927" s="3"/>
      <c r="W927" s="3"/>
      <c r="X927" s="2">
        <f t="shared" ref="X927" si="2032">+S927+T927++U927+V927-W927</f>
        <v>41.24</v>
      </c>
      <c r="Y927" s="6">
        <f t="shared" ref="Y927" si="2033">+Q927-X927</f>
        <v>4.6499999999999986</v>
      </c>
      <c r="Z927" s="6">
        <f>+Y927</f>
        <v>4.6499999999999986</v>
      </c>
      <c r="AA927" s="2"/>
      <c r="AB927" s="2"/>
      <c r="AC927" s="3"/>
      <c r="AD927" s="2"/>
      <c r="AE927" s="2"/>
      <c r="AF927" s="2"/>
      <c r="AG927" s="2"/>
      <c r="AH927" s="2" t="s">
        <v>2629</v>
      </c>
      <c r="AI927" s="2" t="s">
        <v>2628</v>
      </c>
      <c r="AJ927" s="2"/>
      <c r="AK927" s="2"/>
      <c r="AL927" s="2" t="s">
        <v>3247</v>
      </c>
      <c r="AM927" s="2" t="s">
        <v>3220</v>
      </c>
      <c r="AN927" s="2"/>
      <c r="AO927" s="2" t="s">
        <v>2763</v>
      </c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</row>
    <row r="928" spans="3:58" ht="17.25" customHeight="1">
      <c r="C928" s="1">
        <v>43942</v>
      </c>
      <c r="E928" s="2" t="s">
        <v>2613</v>
      </c>
      <c r="F928" s="2"/>
      <c r="G928" s="2" t="s">
        <v>2640</v>
      </c>
      <c r="H928" s="2" t="s">
        <v>4412</v>
      </c>
      <c r="I928" s="2"/>
      <c r="J928" s="2">
        <v>1</v>
      </c>
      <c r="K928" s="2"/>
      <c r="L928" s="3">
        <v>57.5</v>
      </c>
      <c r="M928" s="3">
        <v>5.75</v>
      </c>
      <c r="N928" s="3">
        <v>2.83</v>
      </c>
      <c r="O928" s="3"/>
      <c r="P928" s="3"/>
      <c r="Q928" s="6">
        <f t="shared" si="2031"/>
        <v>48.92</v>
      </c>
      <c r="R928" s="3"/>
      <c r="S928" s="3">
        <v>49</v>
      </c>
      <c r="T928" s="3">
        <v>5.39</v>
      </c>
      <c r="U928" s="3"/>
      <c r="V928" s="3"/>
      <c r="W928" s="3"/>
      <c r="X928" s="2">
        <f t="shared" ref="X928" si="2034">+S928+T928++U928+V928-W928</f>
        <v>54.39</v>
      </c>
      <c r="Y928" s="6">
        <f t="shared" ref="Y928" si="2035">+Q928-X928</f>
        <v>-5.4699999999999989</v>
      </c>
      <c r="Z928" s="2"/>
      <c r="AA928" s="2"/>
      <c r="AB928" s="2"/>
      <c r="AC928" s="3"/>
      <c r="AD928" s="2"/>
      <c r="AE928" s="2"/>
      <c r="AF928" s="2"/>
      <c r="AG928" s="2"/>
      <c r="AH928" s="2" t="s">
        <v>2642</v>
      </c>
      <c r="AI928" s="2" t="s">
        <v>2641</v>
      </c>
      <c r="AJ928" s="2"/>
      <c r="AK928" s="2"/>
      <c r="AL928" s="2" t="s">
        <v>4554</v>
      </c>
      <c r="AM928" s="16" t="s">
        <v>4568</v>
      </c>
      <c r="AN928" s="2"/>
      <c r="AO928" s="2" t="s">
        <v>2841</v>
      </c>
      <c r="AP928" s="2"/>
      <c r="AQ928" s="2"/>
      <c r="AR928" s="16" t="s">
        <v>3302</v>
      </c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</row>
    <row r="929" spans="2:58" ht="17.25" customHeight="1">
      <c r="C929" s="1">
        <v>43942</v>
      </c>
      <c r="E929" s="2" t="s">
        <v>62</v>
      </c>
      <c r="F929" s="2"/>
      <c r="G929" s="2" t="s">
        <v>2632</v>
      </c>
      <c r="H929" s="2" t="s">
        <v>2633</v>
      </c>
      <c r="I929" s="2"/>
      <c r="J929" s="2">
        <v>1</v>
      </c>
      <c r="K929" s="2"/>
      <c r="L929" s="3">
        <v>53.83</v>
      </c>
      <c r="M929" s="3">
        <v>5.38</v>
      </c>
      <c r="N929" s="3">
        <v>2.8</v>
      </c>
      <c r="O929" s="3">
        <f>3.02</f>
        <v>3.02</v>
      </c>
      <c r="P929" s="3">
        <f>3.02-3.02</f>
        <v>0</v>
      </c>
      <c r="Q929" s="6">
        <f t="shared" ref="Q929:Q930" si="2036">+L929-M929-N929+P929</f>
        <v>45.65</v>
      </c>
      <c r="R929" s="3"/>
      <c r="S929" s="3">
        <v>39.99</v>
      </c>
      <c r="T929" s="3">
        <v>3.22</v>
      </c>
      <c r="U929" s="3"/>
      <c r="V929" s="3"/>
      <c r="W929" s="3"/>
      <c r="X929" s="2">
        <f t="shared" ref="X929:X930" si="2037">+S929+T929++U929+V929-W929</f>
        <v>43.21</v>
      </c>
      <c r="Y929" s="6">
        <f t="shared" ref="Y929:Y930" si="2038">+Q929-X929</f>
        <v>2.4399999999999977</v>
      </c>
      <c r="Z929" s="2"/>
      <c r="AA929" s="2"/>
      <c r="AB929" s="2"/>
      <c r="AC929" s="3"/>
      <c r="AD929" s="2"/>
      <c r="AE929" s="2"/>
      <c r="AF929" s="2"/>
      <c r="AG929" s="2"/>
      <c r="AH929" s="2" t="s">
        <v>2635</v>
      </c>
      <c r="AI929" s="2" t="s">
        <v>2634</v>
      </c>
      <c r="AJ929" s="2"/>
      <c r="AK929" s="2"/>
      <c r="AL929" s="2"/>
      <c r="AM929" s="2"/>
      <c r="AN929" s="2"/>
      <c r="AO929" s="2" t="s">
        <v>2704</v>
      </c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</row>
    <row r="930" spans="2:58" ht="17.25" customHeight="1">
      <c r="C930" s="1">
        <v>43942</v>
      </c>
      <c r="E930" s="2" t="s">
        <v>2024</v>
      </c>
      <c r="F930" s="2"/>
      <c r="G930" s="2" t="s">
        <v>2622</v>
      </c>
      <c r="H930" s="2" t="s">
        <v>2623</v>
      </c>
      <c r="I930" s="2"/>
      <c r="J930" s="2">
        <v>1</v>
      </c>
      <c r="K930" s="2"/>
      <c r="L930" s="3">
        <v>53.95</v>
      </c>
      <c r="M930" s="3">
        <v>5.39</v>
      </c>
      <c r="N930" s="3">
        <v>2.82</v>
      </c>
      <c r="O930" s="3">
        <v>0</v>
      </c>
      <c r="P930" s="3">
        <v>0</v>
      </c>
      <c r="Q930" s="6">
        <f t="shared" si="2036"/>
        <v>45.74</v>
      </c>
      <c r="R930" s="3"/>
      <c r="S930" s="3">
        <v>31.98</v>
      </c>
      <c r="T930" s="3">
        <v>1.92</v>
      </c>
      <c r="U930" s="3"/>
      <c r="V930" s="3"/>
      <c r="W930" s="3"/>
      <c r="X930" s="2">
        <f t="shared" si="2037"/>
        <v>33.9</v>
      </c>
      <c r="Y930" s="6">
        <f t="shared" si="2038"/>
        <v>11.840000000000003</v>
      </c>
      <c r="Z930" s="6">
        <f>+Y930</f>
        <v>11.840000000000003</v>
      </c>
      <c r="AA930" s="2"/>
      <c r="AB930" s="2"/>
      <c r="AC930" s="3"/>
      <c r="AD930" s="2"/>
      <c r="AE930" s="2"/>
      <c r="AF930" s="2"/>
      <c r="AG930" s="2"/>
      <c r="AH930" s="2" t="s">
        <v>2625</v>
      </c>
      <c r="AI930" s="2" t="s">
        <v>2624</v>
      </c>
      <c r="AJ930" s="2"/>
      <c r="AK930" s="2"/>
      <c r="AL930" s="2" t="s">
        <v>3250</v>
      </c>
      <c r="AM930" s="16" t="s">
        <v>3081</v>
      </c>
      <c r="AN930" s="2"/>
      <c r="AO930" s="2" t="s">
        <v>2726</v>
      </c>
      <c r="AP930" s="2" t="s">
        <v>2750</v>
      </c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</row>
    <row r="931" spans="2:58" ht="17.25" customHeight="1">
      <c r="C931" s="1">
        <v>43942</v>
      </c>
      <c r="E931" s="2" t="s">
        <v>2024</v>
      </c>
      <c r="F931" s="2"/>
      <c r="G931" s="2" t="s">
        <v>2618</v>
      </c>
      <c r="H931" s="5" t="s">
        <v>2619</v>
      </c>
      <c r="I931" s="2"/>
      <c r="J931" s="2">
        <v>1</v>
      </c>
      <c r="K931" s="2"/>
      <c r="L931" s="3">
        <v>53.95</v>
      </c>
      <c r="M931" s="3">
        <v>5.39</v>
      </c>
      <c r="N931" s="3">
        <v>2.67</v>
      </c>
      <c r="O931" s="3">
        <v>0</v>
      </c>
      <c r="P931" s="3">
        <v>0</v>
      </c>
      <c r="Q931" s="6">
        <f t="shared" ref="Q931" si="2039">+L931-M931-N931+P931</f>
        <v>45.89</v>
      </c>
      <c r="R931" s="3"/>
      <c r="S931" s="3">
        <v>31.98</v>
      </c>
      <c r="T931" s="3">
        <v>0</v>
      </c>
      <c r="U931" s="3"/>
      <c r="V931" s="3"/>
      <c r="W931" s="3"/>
      <c r="X931" s="2">
        <f t="shared" ref="X931" si="2040">+S931+T931++U931+V931-W931</f>
        <v>31.98</v>
      </c>
      <c r="Y931" s="6">
        <f t="shared" ref="Y931" si="2041">+Q931-X931</f>
        <v>13.91</v>
      </c>
      <c r="Z931" s="6">
        <f>+Y931</f>
        <v>13.91</v>
      </c>
      <c r="AA931" s="2"/>
      <c r="AB931" s="2"/>
      <c r="AC931" s="3"/>
      <c r="AD931" s="2"/>
      <c r="AE931" s="2"/>
      <c r="AF931" s="2"/>
      <c r="AG931" s="2"/>
      <c r="AH931" s="2" t="s">
        <v>2621</v>
      </c>
      <c r="AI931" s="2" t="s">
        <v>2620</v>
      </c>
      <c r="AJ931" s="2"/>
      <c r="AK931" s="2"/>
      <c r="AL931" s="2"/>
      <c r="AM931" s="2"/>
      <c r="AN931" s="2"/>
      <c r="AO931" s="2" t="s">
        <v>2727</v>
      </c>
      <c r="AP931" s="2" t="s">
        <v>2748</v>
      </c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</row>
    <row r="932" spans="2:58" ht="17.25" customHeight="1">
      <c r="C932" s="1">
        <v>43942</v>
      </c>
      <c r="E932" s="2" t="s">
        <v>2024</v>
      </c>
      <c r="F932" s="2"/>
      <c r="G932" s="2" t="s">
        <v>2614</v>
      </c>
      <c r="H932" s="2" t="s">
        <v>2615</v>
      </c>
      <c r="I932" s="2"/>
      <c r="J932" s="2">
        <v>1</v>
      </c>
      <c r="K932" s="2"/>
      <c r="L932" s="3">
        <v>53.95</v>
      </c>
      <c r="M932" s="3">
        <v>5.39</v>
      </c>
      <c r="N932" s="3">
        <v>2.67</v>
      </c>
      <c r="O932" s="3">
        <v>0</v>
      </c>
      <c r="P932" s="3">
        <v>0</v>
      </c>
      <c r="Q932" s="6">
        <f t="shared" ref="Q932" si="2042">+L932-M932-N932+P932</f>
        <v>45.89</v>
      </c>
      <c r="R932" s="3"/>
      <c r="S932" s="3">
        <v>36.99</v>
      </c>
      <c r="T932" s="3">
        <v>4.07</v>
      </c>
      <c r="U932" s="3"/>
      <c r="V932" s="3"/>
      <c r="W932" s="3"/>
      <c r="X932" s="2">
        <f t="shared" ref="X932" si="2043">+S932+T932++U932+V932-W932</f>
        <v>41.06</v>
      </c>
      <c r="Y932" s="6">
        <f t="shared" ref="Y932" si="2044">+Q932-X932</f>
        <v>4.8299999999999983</v>
      </c>
      <c r="Z932" s="6">
        <f>+Y932</f>
        <v>4.8299999999999983</v>
      </c>
      <c r="AA932" s="2"/>
      <c r="AB932" s="2"/>
      <c r="AC932" s="3"/>
      <c r="AD932" s="2"/>
      <c r="AE932" s="2"/>
      <c r="AF932" s="2"/>
      <c r="AG932" s="2"/>
      <c r="AH932" s="2" t="s">
        <v>2617</v>
      </c>
      <c r="AI932" s="2" t="s">
        <v>2616</v>
      </c>
      <c r="AJ932" s="2"/>
      <c r="AK932" s="2"/>
      <c r="AL932" s="2" t="s">
        <v>3248</v>
      </c>
      <c r="AM932" s="16" t="s">
        <v>3263</v>
      </c>
      <c r="AN932" s="2"/>
      <c r="AO932" s="2" t="s">
        <v>2761</v>
      </c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</row>
    <row r="933" spans="2:58" ht="17.25" customHeight="1">
      <c r="C933" s="1">
        <v>43942</v>
      </c>
      <c r="E933" s="2" t="s">
        <v>34</v>
      </c>
      <c r="F933" s="2"/>
      <c r="G933" s="2" t="s">
        <v>2607</v>
      </c>
      <c r="H933" s="2" t="s">
        <v>2608</v>
      </c>
      <c r="I933" s="2"/>
      <c r="J933" s="2">
        <v>1</v>
      </c>
      <c r="K933" s="2"/>
      <c r="L933" s="3">
        <v>32.5</v>
      </c>
      <c r="M933" s="3">
        <v>3.25</v>
      </c>
      <c r="N933" s="3">
        <v>1.82</v>
      </c>
      <c r="O933" s="3">
        <f>2.03</f>
        <v>2.0299999999999998</v>
      </c>
      <c r="P933" s="3">
        <f>2.03-2.03</f>
        <v>0</v>
      </c>
      <c r="Q933" s="6">
        <f t="shared" ref="Q933:Q934" si="2045">+L933-M933-N933+P933</f>
        <v>27.43</v>
      </c>
      <c r="R933" s="3"/>
      <c r="S933" s="3">
        <v>18.489999999999998</v>
      </c>
      <c r="T933" s="3">
        <v>1.1599999999999999</v>
      </c>
      <c r="U933" s="3"/>
      <c r="V933" s="3"/>
      <c r="W933" s="3"/>
      <c r="X933" s="2">
        <f t="shared" ref="X933:X934" si="2046">+S933+T933++U933+V933-W933</f>
        <v>19.649999999999999</v>
      </c>
      <c r="Y933" s="6">
        <f t="shared" ref="Y933:Y934" si="2047">+Q933-X933</f>
        <v>7.7800000000000011</v>
      </c>
      <c r="Z933" s="2"/>
      <c r="AA933" s="2"/>
      <c r="AB933" s="2"/>
      <c r="AC933" s="3"/>
      <c r="AD933" s="2"/>
      <c r="AE933" s="2"/>
      <c r="AF933" s="2"/>
      <c r="AG933" s="2"/>
      <c r="AH933" s="2" t="s">
        <v>2610</v>
      </c>
      <c r="AI933" s="2" t="s">
        <v>2609</v>
      </c>
      <c r="AJ933" s="2"/>
      <c r="AK933" s="2"/>
      <c r="AL933" s="2"/>
      <c r="AM933" s="2"/>
      <c r="AN933" s="2"/>
      <c r="AO933" s="2" t="s">
        <v>2611</v>
      </c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</row>
    <row r="934" spans="2:58" ht="17.25" customHeight="1">
      <c r="C934" s="1">
        <v>43942</v>
      </c>
      <c r="E934" s="2" t="s">
        <v>2289</v>
      </c>
      <c r="F934" s="2"/>
      <c r="G934" s="2" t="s">
        <v>2599</v>
      </c>
      <c r="H934" s="2" t="s">
        <v>2600</v>
      </c>
      <c r="I934" s="2"/>
      <c r="J934" s="2">
        <v>1</v>
      </c>
      <c r="K934" s="2"/>
      <c r="L934" s="3">
        <v>29.65</v>
      </c>
      <c r="M934" s="3">
        <v>2.96</v>
      </c>
      <c r="N934" s="3">
        <v>1.6</v>
      </c>
      <c r="O934" s="3"/>
      <c r="P934" s="3">
        <v>0</v>
      </c>
      <c r="Q934" s="6">
        <f t="shared" si="2045"/>
        <v>25.089999999999996</v>
      </c>
      <c r="R934" s="3"/>
      <c r="S934" s="3">
        <v>19.98</v>
      </c>
      <c r="T934" s="3">
        <v>0</v>
      </c>
      <c r="U934" s="3">
        <v>5.99</v>
      </c>
      <c r="V934" s="3"/>
      <c r="W934" s="3"/>
      <c r="X934" s="2">
        <f t="shared" si="2046"/>
        <v>25.97</v>
      </c>
      <c r="Y934" s="6">
        <f t="shared" si="2047"/>
        <v>-0.88000000000000256</v>
      </c>
      <c r="Z934" s="2"/>
      <c r="AA934" s="2"/>
      <c r="AB934" s="2"/>
      <c r="AC934" s="3"/>
      <c r="AD934" s="2"/>
      <c r="AE934" s="2"/>
      <c r="AF934" s="2"/>
      <c r="AG934" s="2"/>
      <c r="AH934" s="2" t="s">
        <v>2602</v>
      </c>
      <c r="AI934" s="2" t="s">
        <v>2601</v>
      </c>
      <c r="AJ934" s="2"/>
      <c r="AK934" s="2"/>
      <c r="AL934" s="2" t="s">
        <v>3250</v>
      </c>
      <c r="AM934" s="16" t="s">
        <v>3227</v>
      </c>
      <c r="AN934" s="2"/>
      <c r="AO934" s="2" t="s">
        <v>2840</v>
      </c>
      <c r="AP934" s="2" t="s">
        <v>2801</v>
      </c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</row>
    <row r="935" spans="2:58" ht="17.25" customHeight="1">
      <c r="C935" s="1">
        <v>43941</v>
      </c>
      <c r="E935" s="2" t="s">
        <v>2024</v>
      </c>
      <c r="F935" s="2"/>
      <c r="G935" s="2" t="s">
        <v>2578</v>
      </c>
      <c r="H935" s="2" t="s">
        <v>2579</v>
      </c>
      <c r="I935" s="2"/>
      <c r="J935" s="2">
        <v>1</v>
      </c>
      <c r="K935" s="2"/>
      <c r="L935" s="3">
        <v>53.95</v>
      </c>
      <c r="M935" s="3">
        <v>5.39</v>
      </c>
      <c r="N935" s="3">
        <v>2.67</v>
      </c>
      <c r="O935" s="3">
        <v>0</v>
      </c>
      <c r="P935" s="3">
        <v>0</v>
      </c>
      <c r="Q935" s="6">
        <f t="shared" ref="Q935" si="2048">+L935-M935-N935+P935</f>
        <v>45.89</v>
      </c>
      <c r="R935" s="3"/>
      <c r="S935" s="3">
        <v>36.99</v>
      </c>
      <c r="T935" s="3">
        <v>4.07</v>
      </c>
      <c r="U935" s="3"/>
      <c r="V935" s="3"/>
      <c r="W935" s="3"/>
      <c r="X935" s="2">
        <f t="shared" ref="X935" si="2049">+S935+T935++U935+V935-W935</f>
        <v>41.06</v>
      </c>
      <c r="Y935" s="6">
        <f t="shared" ref="Y935" si="2050">+Q935-X935</f>
        <v>4.8299999999999983</v>
      </c>
      <c r="Z935" s="6">
        <f>+Y935</f>
        <v>4.8299999999999983</v>
      </c>
      <c r="AA935" s="2"/>
      <c r="AB935" s="2"/>
      <c r="AC935" s="3"/>
      <c r="AD935" s="2"/>
      <c r="AE935" s="2"/>
      <c r="AF935" s="2"/>
      <c r="AG935" s="2"/>
      <c r="AH935" s="2" t="s">
        <v>2581</v>
      </c>
      <c r="AI935" s="2" t="s">
        <v>2580</v>
      </c>
      <c r="AJ935" s="2"/>
      <c r="AK935" s="2"/>
      <c r="AL935" s="2" t="s">
        <v>2922</v>
      </c>
      <c r="AM935" s="16" t="s">
        <v>4411</v>
      </c>
      <c r="AN935" s="2"/>
      <c r="AO935" s="2" t="s">
        <v>2945</v>
      </c>
      <c r="AP935" s="2" t="s">
        <v>2934</v>
      </c>
      <c r="AQ935" s="2"/>
      <c r="AR935" s="16" t="s">
        <v>3302</v>
      </c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</row>
    <row r="936" spans="2:58" ht="17.25" customHeight="1">
      <c r="C936" s="1">
        <v>43941</v>
      </c>
      <c r="E936" s="2" t="s">
        <v>2024</v>
      </c>
      <c r="F936" s="2"/>
      <c r="G936" s="2" t="s">
        <v>2574</v>
      </c>
      <c r="H936" s="2" t="s">
        <v>2575</v>
      </c>
      <c r="I936" s="2"/>
      <c r="J936" s="2">
        <v>1</v>
      </c>
      <c r="K936" s="2"/>
      <c r="L936" s="3">
        <v>53.95</v>
      </c>
      <c r="M936" s="3">
        <v>5.39</v>
      </c>
      <c r="N936" s="3">
        <v>2.87</v>
      </c>
      <c r="O936" s="3">
        <f>4.45</f>
        <v>4.45</v>
      </c>
      <c r="P936" s="3">
        <f>4.45-4.45</f>
        <v>0</v>
      </c>
      <c r="Q936" s="6">
        <f t="shared" ref="Q936" si="2051">+L936-M936-N936+P936</f>
        <v>45.690000000000005</v>
      </c>
      <c r="R936" s="3"/>
      <c r="S936" s="3">
        <v>36.99</v>
      </c>
      <c r="T936" s="3">
        <v>3.05</v>
      </c>
      <c r="U936" s="3"/>
      <c r="V936" s="3"/>
      <c r="W936" s="3"/>
      <c r="X936" s="2">
        <f t="shared" ref="X936" si="2052">+S936+T936++U936+V936-W936</f>
        <v>40.04</v>
      </c>
      <c r="Y936" s="6">
        <f t="shared" ref="Y936" si="2053">+Q936-X936</f>
        <v>5.6500000000000057</v>
      </c>
      <c r="Z936" s="6">
        <f>+Y936</f>
        <v>5.6500000000000057</v>
      </c>
      <c r="AA936" s="2"/>
      <c r="AB936" s="2"/>
      <c r="AC936" s="3"/>
      <c r="AD936" s="2"/>
      <c r="AE936" s="2"/>
      <c r="AF936" s="2"/>
      <c r="AG936" s="2"/>
      <c r="AH936" s="2" t="s">
        <v>2577</v>
      </c>
      <c r="AI936" s="2" t="s">
        <v>2576</v>
      </c>
      <c r="AJ936" s="2"/>
      <c r="AK936" s="2"/>
      <c r="AL936" s="2"/>
      <c r="AM936" s="2"/>
      <c r="AN936" s="2"/>
      <c r="AO936" s="2" t="s">
        <v>2724</v>
      </c>
      <c r="AP936" s="2" t="s">
        <v>2725</v>
      </c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</row>
    <row r="937" spans="2:58" ht="17.25" customHeight="1">
      <c r="C937" s="1">
        <v>43941</v>
      </c>
      <c r="E937" s="2" t="s">
        <v>2024</v>
      </c>
      <c r="F937" s="2"/>
      <c r="G937" s="2" t="s">
        <v>2570</v>
      </c>
      <c r="H937" s="2" t="s">
        <v>2571</v>
      </c>
      <c r="I937" s="2"/>
      <c r="J937" s="2">
        <v>1</v>
      </c>
      <c r="K937" s="2"/>
      <c r="L937" s="3">
        <v>53.95</v>
      </c>
      <c r="M937" s="3">
        <v>5.39</v>
      </c>
      <c r="N937" s="3">
        <v>2.84</v>
      </c>
      <c r="O937" s="3">
        <f>3.78</f>
        <v>3.78</v>
      </c>
      <c r="P937" s="3">
        <f>3.78-3.78</f>
        <v>0</v>
      </c>
      <c r="Q937" s="6">
        <f t="shared" ref="Q937:Q938" si="2054">+L937-M937-N937+P937</f>
        <v>45.72</v>
      </c>
      <c r="R937" s="3"/>
      <c r="S937" s="3">
        <v>36.979999999999997</v>
      </c>
      <c r="T937" s="3">
        <v>2.59</v>
      </c>
      <c r="U937" s="3"/>
      <c r="V937" s="3"/>
      <c r="W937" s="3"/>
      <c r="X937" s="2">
        <f t="shared" ref="X937" si="2055">+S937+T937++U937+V937-W937</f>
        <v>39.569999999999993</v>
      </c>
      <c r="Y937" s="6">
        <f t="shared" ref="Y937" si="2056">+Q937-X937</f>
        <v>6.1500000000000057</v>
      </c>
      <c r="Z937" s="6">
        <f>+Y937</f>
        <v>6.1500000000000057</v>
      </c>
      <c r="AA937" s="2"/>
      <c r="AB937" s="2"/>
      <c r="AC937" s="3"/>
      <c r="AD937" s="2"/>
      <c r="AE937" s="2"/>
      <c r="AF937" s="2"/>
      <c r="AG937" s="2"/>
      <c r="AH937" s="2" t="s">
        <v>2573</v>
      </c>
      <c r="AI937" s="2" t="s">
        <v>2572</v>
      </c>
      <c r="AJ937" s="2"/>
      <c r="AK937" s="2"/>
      <c r="AL937" s="2"/>
      <c r="AM937" s="2"/>
      <c r="AN937" s="2"/>
      <c r="AO937" s="2" t="s">
        <v>2659</v>
      </c>
      <c r="AP937" s="2" t="s">
        <v>2606</v>
      </c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</row>
    <row r="938" spans="2:58" ht="17.25" customHeight="1">
      <c r="C938" s="1">
        <v>43941</v>
      </c>
      <c r="E938" s="2" t="s">
        <v>2582</v>
      </c>
      <c r="F938" s="2"/>
      <c r="G938" s="2" t="s">
        <v>2583</v>
      </c>
      <c r="H938" s="2" t="s">
        <v>2584</v>
      </c>
      <c r="I938" s="2"/>
      <c r="J938" s="2">
        <v>1</v>
      </c>
      <c r="K938" s="2"/>
      <c r="L938" s="3">
        <v>29.65</v>
      </c>
      <c r="M938" s="3">
        <v>2.96</v>
      </c>
      <c r="N938" s="3">
        <v>1.7</v>
      </c>
      <c r="O938" s="3">
        <f>2.15</f>
        <v>2.15</v>
      </c>
      <c r="P938" s="3">
        <f>2.15-2.15</f>
        <v>0</v>
      </c>
      <c r="Q938" s="6">
        <f t="shared" si="2054"/>
        <v>24.99</v>
      </c>
      <c r="R938" s="3"/>
      <c r="S938" s="3">
        <v>19.98</v>
      </c>
      <c r="T938" s="3">
        <v>1.45</v>
      </c>
      <c r="U938" s="3">
        <v>5.99</v>
      </c>
      <c r="V938" s="3"/>
      <c r="W938" s="3"/>
      <c r="X938" s="2">
        <f t="shared" ref="X938" si="2057">+S938+T938++U938+V938-W938</f>
        <v>27.42</v>
      </c>
      <c r="Y938" s="6">
        <f t="shared" ref="Y938" si="2058">+Q938-X938</f>
        <v>-2.4300000000000033</v>
      </c>
      <c r="Z938" s="2"/>
      <c r="AA938" s="2"/>
      <c r="AB938" s="2"/>
      <c r="AC938" s="3"/>
      <c r="AD938" s="2"/>
      <c r="AE938" s="2"/>
      <c r="AF938" s="2"/>
      <c r="AG938" s="2"/>
      <c r="AH938" s="2" t="s">
        <v>2586</v>
      </c>
      <c r="AI938" s="2" t="s">
        <v>2585</v>
      </c>
      <c r="AJ938" s="2"/>
      <c r="AK938" s="2"/>
      <c r="AL938" s="2" t="s">
        <v>3250</v>
      </c>
      <c r="AM938" s="16" t="s">
        <v>3080</v>
      </c>
      <c r="AN938" s="2"/>
      <c r="AO938" s="2" t="s">
        <v>2802</v>
      </c>
      <c r="AP938" s="2" t="s">
        <v>2801</v>
      </c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</row>
    <row r="939" spans="2:58" ht="17.25" customHeight="1">
      <c r="C939" s="1">
        <v>43941</v>
      </c>
      <c r="E939" s="2" t="s">
        <v>2024</v>
      </c>
      <c r="F939" s="2"/>
      <c r="G939" s="2" t="s">
        <v>2567</v>
      </c>
      <c r="H939" s="2" t="s">
        <v>2746</v>
      </c>
      <c r="I939" s="2"/>
      <c r="J939" s="2">
        <v>0</v>
      </c>
      <c r="K939" s="2"/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6">
        <f t="shared" ref="Q939" si="2059">+L939-M939-N939+P939</f>
        <v>0</v>
      </c>
      <c r="R939" s="3"/>
      <c r="S939" s="3">
        <v>0</v>
      </c>
      <c r="T939" s="3">
        <v>0</v>
      </c>
      <c r="U939" s="3"/>
      <c r="V939" s="3"/>
      <c r="W939" s="3"/>
      <c r="X939" s="2">
        <f t="shared" ref="X939" si="2060">+S939+T939++U939+V939-W939</f>
        <v>0</v>
      </c>
      <c r="Y939" s="6">
        <f t="shared" ref="Y939" si="2061">+Q939-X939</f>
        <v>0</v>
      </c>
      <c r="Z939" s="6">
        <f>+Y939</f>
        <v>0</v>
      </c>
      <c r="AA939" s="2"/>
      <c r="AB939" s="2"/>
      <c r="AC939" s="3"/>
      <c r="AD939" s="2"/>
      <c r="AE939" s="2"/>
      <c r="AF939" s="2"/>
      <c r="AG939" s="2"/>
      <c r="AH939" s="2" t="s">
        <v>2569</v>
      </c>
      <c r="AI939" s="2" t="s">
        <v>2568</v>
      </c>
      <c r="AJ939" s="2"/>
      <c r="AK939" s="2"/>
      <c r="AL939" s="2"/>
      <c r="AM939" s="2"/>
      <c r="AN939" s="2"/>
      <c r="AO939" s="2" t="s">
        <v>2800</v>
      </c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</row>
    <row r="940" spans="2:58" ht="17.25" customHeight="1">
      <c r="B940" s="37" t="s">
        <v>1370</v>
      </c>
      <c r="C940" s="1">
        <v>43941</v>
      </c>
      <c r="E940" s="2" t="s">
        <v>1502</v>
      </c>
      <c r="F940" s="2"/>
      <c r="G940" s="2" t="s">
        <v>2563</v>
      </c>
      <c r="H940" s="2" t="s">
        <v>2564</v>
      </c>
      <c r="I940" s="2"/>
      <c r="J940" s="2">
        <v>1</v>
      </c>
      <c r="K940" s="2"/>
      <c r="L940" s="3">
        <v>19.600000000000001</v>
      </c>
      <c r="M940" s="3">
        <v>1.96</v>
      </c>
      <c r="N940" s="3">
        <v>1.21</v>
      </c>
      <c r="O940" s="3">
        <f>1.18</f>
        <v>1.18</v>
      </c>
      <c r="P940" s="3">
        <f>1.18-1.18</f>
        <v>0</v>
      </c>
      <c r="Q940" s="6">
        <f>+L940-M940-N940+P940</f>
        <v>16.43</v>
      </c>
      <c r="R940" s="3"/>
      <c r="S940" s="3">
        <v>11.89</v>
      </c>
      <c r="T940" s="3">
        <v>0.72</v>
      </c>
      <c r="U940" s="3">
        <v>0</v>
      </c>
      <c r="V940" s="3"/>
      <c r="W940" s="3"/>
      <c r="X940" s="2">
        <f>+S940+T940++U940+V940-W940</f>
        <v>12.610000000000001</v>
      </c>
      <c r="Y940" s="6">
        <f>+Q940-X940</f>
        <v>3.8199999999999985</v>
      </c>
      <c r="Z940" s="2"/>
      <c r="AA940" s="2"/>
      <c r="AB940" s="2"/>
      <c r="AC940" s="3"/>
      <c r="AD940" s="2"/>
      <c r="AE940" s="2"/>
      <c r="AF940" s="2"/>
      <c r="AG940" s="2"/>
      <c r="AH940" s="2" t="s">
        <v>2566</v>
      </c>
      <c r="AI940" s="2" t="s">
        <v>2565</v>
      </c>
      <c r="AJ940" s="2"/>
      <c r="AK940" s="2"/>
      <c r="AL940" s="2"/>
      <c r="AM940" s="2"/>
      <c r="AN940" s="2"/>
      <c r="AO940" s="16" t="s">
        <v>2592</v>
      </c>
      <c r="AP940" s="2" t="s">
        <v>2593</v>
      </c>
      <c r="AQ940" s="2"/>
      <c r="AR940" s="16" t="s">
        <v>4707</v>
      </c>
      <c r="AS940" s="2" t="s">
        <v>5360</v>
      </c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</row>
    <row r="941" spans="2:58" ht="17.25" customHeight="1">
      <c r="C941" s="1">
        <v>43941</v>
      </c>
      <c r="E941" s="2" t="s">
        <v>2559</v>
      </c>
      <c r="F941" s="2"/>
      <c r="G941" s="2" t="s">
        <v>2558</v>
      </c>
      <c r="H941" s="2" t="s">
        <v>2560</v>
      </c>
      <c r="I941" s="2"/>
      <c r="J941" s="2">
        <v>1</v>
      </c>
      <c r="K941" s="2"/>
      <c r="L941" s="3">
        <v>83.5</v>
      </c>
      <c r="M941" s="3">
        <v>8.35</v>
      </c>
      <c r="N941" s="3">
        <v>4.2300000000000004</v>
      </c>
      <c r="O941" s="3">
        <f>5.23</f>
        <v>5.23</v>
      </c>
      <c r="P941" s="3">
        <f>5.23-5.23</f>
        <v>0</v>
      </c>
      <c r="Q941" s="6">
        <f t="shared" ref="Q941" si="2062">+L941-M941-N941+P941</f>
        <v>70.92</v>
      </c>
      <c r="R941" s="3"/>
      <c r="S941" s="3">
        <v>65.19</v>
      </c>
      <c r="T941" s="3">
        <v>4.4800000000000004</v>
      </c>
      <c r="U941" s="3"/>
      <c r="V941" s="3"/>
      <c r="W941" s="3">
        <v>6.51</v>
      </c>
      <c r="X941" s="2">
        <f t="shared" ref="X941" si="2063">+S941+T941++U941+V941-W941</f>
        <v>63.160000000000004</v>
      </c>
      <c r="Y941" s="6">
        <f t="shared" ref="Y941" si="2064">+Q941-X941</f>
        <v>7.759999999999998</v>
      </c>
      <c r="Z941" s="2"/>
      <c r="AA941" s="6">
        <f>+Y941</f>
        <v>7.759999999999998</v>
      </c>
      <c r="AB941" s="2"/>
      <c r="AC941" s="3"/>
      <c r="AD941" s="2"/>
      <c r="AE941" s="2"/>
      <c r="AF941" s="2"/>
      <c r="AG941" s="2"/>
      <c r="AH941" s="2" t="s">
        <v>2562</v>
      </c>
      <c r="AI941" s="2" t="s">
        <v>2561</v>
      </c>
      <c r="AJ941" s="2"/>
      <c r="AK941" s="2"/>
      <c r="AL941" s="2"/>
      <c r="AM941" s="2"/>
      <c r="AN941" s="2"/>
      <c r="AO941" s="2" t="s">
        <v>2718</v>
      </c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</row>
    <row r="942" spans="2:58" ht="17.25" customHeight="1">
      <c r="C942" s="1">
        <v>43941</v>
      </c>
      <c r="E942" s="2" t="s">
        <v>2553</v>
      </c>
      <c r="F942" s="2"/>
      <c r="G942" s="2" t="s">
        <v>2552</v>
      </c>
      <c r="H942" s="2" t="s">
        <v>2555</v>
      </c>
      <c r="I942" s="2"/>
      <c r="J942" s="2">
        <v>1</v>
      </c>
      <c r="K942" s="2"/>
      <c r="L942" s="3">
        <v>72.5</v>
      </c>
      <c r="M942" s="3">
        <v>7.25</v>
      </c>
      <c r="N942" s="3">
        <v>3.77</v>
      </c>
      <c r="O942" s="3">
        <f>6.43</f>
        <v>6.43</v>
      </c>
      <c r="P942" s="3">
        <f>6.43-6.43</f>
        <v>0</v>
      </c>
      <c r="Q942" s="6">
        <f t="shared" ref="Q942:Q943" si="2065">+L942-M942-N942+P942</f>
        <v>61.48</v>
      </c>
      <c r="R942" s="3"/>
      <c r="S942" s="3">
        <v>45.99</v>
      </c>
      <c r="T942" s="3">
        <v>0</v>
      </c>
      <c r="U942" s="3">
        <v>4.99</v>
      </c>
      <c r="V942" s="3"/>
      <c r="W942" s="3">
        <v>4.59</v>
      </c>
      <c r="X942" s="2">
        <f t="shared" ref="X942" si="2066">+S942+T942++U942+V942-W942</f>
        <v>46.39</v>
      </c>
      <c r="Y942" s="6">
        <f t="shared" ref="Y942" si="2067">+Q942-X942</f>
        <v>15.089999999999996</v>
      </c>
      <c r="Z942" s="2"/>
      <c r="AA942" s="2"/>
      <c r="AB942" s="2"/>
      <c r="AC942" s="3"/>
      <c r="AD942" s="2"/>
      <c r="AE942" s="2"/>
      <c r="AF942" s="2"/>
      <c r="AG942" s="2"/>
      <c r="AH942" s="2" t="s">
        <v>2557</v>
      </c>
      <c r="AI942" s="2" t="s">
        <v>2556</v>
      </c>
      <c r="AJ942" s="2"/>
      <c r="AK942" s="2"/>
      <c r="AL942" s="2"/>
      <c r="AM942" s="2"/>
      <c r="AN942" s="2"/>
      <c r="AO942" s="2" t="s">
        <v>2799</v>
      </c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</row>
    <row r="943" spans="2:58" ht="17.25" customHeight="1">
      <c r="C943" s="1">
        <v>43941</v>
      </c>
      <c r="E943" s="2" t="s">
        <v>2024</v>
      </c>
      <c r="F943" s="2"/>
      <c r="G943" s="2" t="s">
        <v>2548</v>
      </c>
      <c r="H943" s="2" t="s">
        <v>2549</v>
      </c>
      <c r="I943" s="2"/>
      <c r="J943" s="2">
        <v>1</v>
      </c>
      <c r="K943" s="2"/>
      <c r="L943" s="3">
        <v>53.95</v>
      </c>
      <c r="M943" s="3">
        <v>5.39</v>
      </c>
      <c r="N943" s="3">
        <v>2.86</v>
      </c>
      <c r="O943" s="3">
        <f>4.32</f>
        <v>4.32</v>
      </c>
      <c r="P943" s="3">
        <f>4.32-4.32</f>
        <v>0</v>
      </c>
      <c r="Q943" s="6">
        <f t="shared" si="2065"/>
        <v>45.7</v>
      </c>
      <c r="R943" s="3"/>
      <c r="S943" s="3">
        <v>36.979999999999997</v>
      </c>
      <c r="T943" s="3">
        <v>2.96</v>
      </c>
      <c r="U943" s="3"/>
      <c r="V943" s="3"/>
      <c r="W943" s="3"/>
      <c r="X943" s="2">
        <f t="shared" ref="X943" si="2068">+S943+T943++U943+V943-W943</f>
        <v>39.94</v>
      </c>
      <c r="Y943" s="6">
        <f t="shared" ref="Y943" si="2069">+Q943-X943</f>
        <v>5.7600000000000051</v>
      </c>
      <c r="Z943" s="6">
        <f>+Y943</f>
        <v>5.7600000000000051</v>
      </c>
      <c r="AA943" s="2"/>
      <c r="AB943" s="2"/>
      <c r="AC943" s="3"/>
      <c r="AD943" s="2"/>
      <c r="AE943" s="2"/>
      <c r="AF943" s="2"/>
      <c r="AG943" s="2"/>
      <c r="AH943" s="2" t="s">
        <v>2551</v>
      </c>
      <c r="AI943" s="2" t="s">
        <v>2550</v>
      </c>
      <c r="AJ943" s="2"/>
      <c r="AK943" s="2"/>
      <c r="AL943" s="2"/>
      <c r="AM943" s="2"/>
      <c r="AN943" s="2"/>
      <c r="AO943" s="2" t="s">
        <v>2658</v>
      </c>
      <c r="AP943" s="2" t="s">
        <v>2606</v>
      </c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</row>
    <row r="944" spans="2:58" ht="17.25" customHeight="1">
      <c r="C944" s="1">
        <v>43941</v>
      </c>
      <c r="E944" s="2" t="s">
        <v>2045</v>
      </c>
      <c r="F944" s="2"/>
      <c r="G944" s="2" t="s">
        <v>2544</v>
      </c>
      <c r="H944" s="2" t="s">
        <v>2545</v>
      </c>
      <c r="I944" s="2"/>
      <c r="J944" s="2">
        <v>1</v>
      </c>
      <c r="K944" s="2"/>
      <c r="L944" s="3">
        <v>35.25</v>
      </c>
      <c r="M944" s="3">
        <v>3.52</v>
      </c>
      <c r="N944" s="3">
        <v>1.95</v>
      </c>
      <c r="O944" s="3">
        <f>2.24</f>
        <v>2.2400000000000002</v>
      </c>
      <c r="P944" s="3">
        <f>2.24-2.24</f>
        <v>0</v>
      </c>
      <c r="Q944" s="6">
        <f t="shared" ref="Q944:Q945" si="2070">+L944-M944-N944+P944</f>
        <v>29.78</v>
      </c>
      <c r="R944" s="3"/>
      <c r="S944" s="3">
        <v>24.99</v>
      </c>
      <c r="T944" s="3">
        <v>1.59</v>
      </c>
      <c r="U944" s="3">
        <v>0</v>
      </c>
      <c r="V944" s="3"/>
      <c r="W944" s="3"/>
      <c r="X944" s="2">
        <f t="shared" ref="X944" si="2071">+S944+T944++U944+V944-W944</f>
        <v>26.58</v>
      </c>
      <c r="Y944" s="6">
        <f t="shared" ref="Y944" si="2072">+Q944-X944</f>
        <v>3.2000000000000028</v>
      </c>
      <c r="Z944" s="2"/>
      <c r="AA944" s="2"/>
      <c r="AB944" s="2"/>
      <c r="AC944" s="3"/>
      <c r="AD944" s="2"/>
      <c r="AE944" s="2"/>
      <c r="AF944" s="2"/>
      <c r="AG944" s="2"/>
      <c r="AH944" s="2" t="s">
        <v>2547</v>
      </c>
      <c r="AI944" s="2" t="s">
        <v>2546</v>
      </c>
      <c r="AJ944" s="2"/>
      <c r="AK944" s="2"/>
      <c r="AL944" s="2" t="s">
        <v>3248</v>
      </c>
      <c r="AM944" s="16" t="s">
        <v>3301</v>
      </c>
      <c r="AN944" s="2"/>
      <c r="AO944" s="2" t="s">
        <v>2803</v>
      </c>
      <c r="AP944" s="2"/>
      <c r="AQ944" s="2"/>
      <c r="AR944" s="2"/>
      <c r="AS944" s="2"/>
      <c r="AT944" s="2" t="s">
        <v>3300</v>
      </c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</row>
    <row r="945" spans="3:58" ht="17.25" customHeight="1">
      <c r="C945" s="1">
        <v>43941</v>
      </c>
      <c r="E945" s="2" t="s">
        <v>2024</v>
      </c>
      <c r="F945" s="2"/>
      <c r="G945" s="2" t="s">
        <v>4121</v>
      </c>
      <c r="H945" s="2" t="s">
        <v>2541</v>
      </c>
      <c r="I945" s="2"/>
      <c r="J945" s="2">
        <v>1</v>
      </c>
      <c r="K945" s="2"/>
      <c r="L945" s="3">
        <v>53.95</v>
      </c>
      <c r="M945" s="3">
        <v>5.39</v>
      </c>
      <c r="N945" s="3">
        <v>2.84</v>
      </c>
      <c r="O945" s="3"/>
      <c r="P945" s="3">
        <v>3.78</v>
      </c>
      <c r="Q945" s="6">
        <f t="shared" si="2070"/>
        <v>49.5</v>
      </c>
      <c r="R945" s="3"/>
      <c r="S945" s="3">
        <v>36.979999999999997</v>
      </c>
      <c r="T945" s="3">
        <v>2.77</v>
      </c>
      <c r="U945" s="3"/>
      <c r="V945" s="3"/>
      <c r="W945" s="3"/>
      <c r="X945" s="2">
        <f t="shared" ref="X945" si="2073">+S945+T945++U945+V945-W945</f>
        <v>39.75</v>
      </c>
      <c r="Y945" s="6">
        <f t="shared" ref="Y945" si="2074">+Q945-X945</f>
        <v>9.75</v>
      </c>
      <c r="Z945" s="6">
        <f>+Y945</f>
        <v>9.75</v>
      </c>
      <c r="AA945" s="2"/>
      <c r="AB945" s="2"/>
      <c r="AC945" s="3"/>
      <c r="AD945" s="2"/>
      <c r="AE945" s="2"/>
      <c r="AF945" s="2"/>
      <c r="AG945" s="2"/>
      <c r="AH945" s="2" t="s">
        <v>2543</v>
      </c>
      <c r="AI945" s="2" t="s">
        <v>2542</v>
      </c>
      <c r="AJ945" s="2"/>
      <c r="AK945" s="2"/>
      <c r="AL945" s="2"/>
      <c r="AM945" s="2"/>
      <c r="AN945" s="2"/>
      <c r="AO945" s="2" t="s">
        <v>2657</v>
      </c>
      <c r="AP945" s="2" t="s">
        <v>2606</v>
      </c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</row>
    <row r="946" spans="3:58" ht="17.25" customHeight="1">
      <c r="C946" s="1">
        <v>43941</v>
      </c>
      <c r="E946" s="2" t="s">
        <v>2536</v>
      </c>
      <c r="F946" s="2"/>
      <c r="G946" s="2" t="s">
        <v>2537</v>
      </c>
      <c r="H946" s="2" t="s">
        <v>2538</v>
      </c>
      <c r="I946" s="2"/>
      <c r="J946" s="2">
        <v>1</v>
      </c>
      <c r="K946" s="2"/>
      <c r="L946" s="3">
        <v>83.5</v>
      </c>
      <c r="M946" s="3">
        <v>8.35</v>
      </c>
      <c r="N946" s="3">
        <v>4.24</v>
      </c>
      <c r="O946" s="3"/>
      <c r="P946" s="3">
        <v>6.05</v>
      </c>
      <c r="Q946" s="6">
        <f t="shared" ref="Q946" si="2075">+L946-M946-N946+P946</f>
        <v>76.960000000000008</v>
      </c>
      <c r="R946" s="3"/>
      <c r="S946" s="3">
        <v>65.19</v>
      </c>
      <c r="T946" s="3">
        <v>0</v>
      </c>
      <c r="U946" s="3"/>
      <c r="V946" s="3"/>
      <c r="W946" s="3">
        <v>6.51</v>
      </c>
      <c r="X946" s="2">
        <f t="shared" ref="X946" si="2076">+S946+T946++U946+V946-W946</f>
        <v>58.68</v>
      </c>
      <c r="Y946" s="6">
        <f t="shared" ref="Y946" si="2077">+Q946-X946</f>
        <v>18.280000000000008</v>
      </c>
      <c r="Z946" s="2"/>
      <c r="AA946" s="6">
        <f>+Y946</f>
        <v>18.280000000000008</v>
      </c>
      <c r="AB946" s="2"/>
      <c r="AC946" s="3"/>
      <c r="AD946" s="2"/>
      <c r="AE946" s="2"/>
      <c r="AF946" s="2"/>
      <c r="AG946" s="2"/>
      <c r="AH946" s="2" t="s">
        <v>2540</v>
      </c>
      <c r="AI946" s="2" t="s">
        <v>2539</v>
      </c>
      <c r="AJ946" s="2"/>
      <c r="AK946" s="2"/>
      <c r="AL946" s="2"/>
      <c r="AM946" s="2"/>
      <c r="AN946" s="2"/>
      <c r="AO946" s="2" t="s">
        <v>2703</v>
      </c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</row>
    <row r="947" spans="3:58" ht="17.25" customHeight="1">
      <c r="C947" s="1">
        <v>43940</v>
      </c>
      <c r="E947" s="2" t="s">
        <v>2654</v>
      </c>
      <c r="F947" s="2"/>
      <c r="G947" s="2" t="s">
        <v>2524</v>
      </c>
      <c r="H947" s="2" t="s">
        <v>2525</v>
      </c>
      <c r="I947" s="2"/>
      <c r="J947" s="2">
        <v>1</v>
      </c>
      <c r="K947" s="2"/>
      <c r="L947" s="3">
        <v>53.85</v>
      </c>
      <c r="M947" s="3">
        <v>5.38</v>
      </c>
      <c r="N947" s="3">
        <v>2.88</v>
      </c>
      <c r="O947" s="3">
        <f>3.63</f>
        <v>3.63</v>
      </c>
      <c r="P947" s="3">
        <f>3.63-3.63</f>
        <v>0</v>
      </c>
      <c r="Q947" s="6">
        <f t="shared" ref="Q947" si="2078">+L947-M947-N947+P947</f>
        <v>45.589999999999996</v>
      </c>
      <c r="R947" s="3"/>
      <c r="S947" s="3">
        <v>36.979999999999997</v>
      </c>
      <c r="T947" s="3">
        <v>3.33</v>
      </c>
      <c r="U947" s="3"/>
      <c r="V947" s="3"/>
      <c r="W947" s="3"/>
      <c r="X947" s="2">
        <f t="shared" ref="X947" si="2079">+S947+T947++U947+V947-W947</f>
        <v>40.309999999999995</v>
      </c>
      <c r="Y947" s="6">
        <f t="shared" ref="Y947" si="2080">+Q947-X947</f>
        <v>5.2800000000000011</v>
      </c>
      <c r="Z947" s="6">
        <f>+Y947</f>
        <v>5.2800000000000011</v>
      </c>
      <c r="AA947" s="2"/>
      <c r="AB947" s="2"/>
      <c r="AC947" s="3"/>
      <c r="AD947" s="2"/>
      <c r="AE947" s="2"/>
      <c r="AF947" s="2"/>
      <c r="AG947" s="2"/>
      <c r="AH947" s="2" t="s">
        <v>2527</v>
      </c>
      <c r="AI947" s="2" t="s">
        <v>2526</v>
      </c>
      <c r="AJ947" s="2"/>
      <c r="AK947" s="2"/>
      <c r="AL947" s="2"/>
      <c r="AM947" s="2"/>
      <c r="AN947" s="2"/>
      <c r="AO947" s="10" t="s">
        <v>2656</v>
      </c>
      <c r="AP947" s="2" t="s">
        <v>2606</v>
      </c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</row>
    <row r="948" spans="3:58" ht="17.25" customHeight="1">
      <c r="C948" s="1">
        <v>43940</v>
      </c>
      <c r="E948" s="2" t="s">
        <v>2024</v>
      </c>
      <c r="F948" s="2"/>
      <c r="G948" s="2" t="s">
        <v>2521</v>
      </c>
      <c r="H948" s="2" t="s">
        <v>2778</v>
      </c>
      <c r="I948" s="2"/>
      <c r="J948" s="2">
        <v>1</v>
      </c>
      <c r="K948" s="2"/>
      <c r="L948" s="3">
        <v>53.85</v>
      </c>
      <c r="M948" s="3">
        <v>5.38</v>
      </c>
      <c r="N948" s="3">
        <v>2.67</v>
      </c>
      <c r="O948" s="3">
        <f>3.63</f>
        <v>3.63</v>
      </c>
      <c r="P948" s="3">
        <f>3.63-3.63</f>
        <v>0</v>
      </c>
      <c r="Q948" s="6">
        <f t="shared" ref="Q948" si="2081">+L948-M948-N948+P948</f>
        <v>45.8</v>
      </c>
      <c r="R948" s="3"/>
      <c r="S948" s="3">
        <v>36.99</v>
      </c>
      <c r="T948" s="3">
        <v>4.07</v>
      </c>
      <c r="U948" s="3"/>
      <c r="V948" s="3"/>
      <c r="W948" s="3"/>
      <c r="X948" s="2">
        <f t="shared" ref="X948" si="2082">+S948+T948++U948+V948-W948</f>
        <v>41.06</v>
      </c>
      <c r="Y948" s="6">
        <f t="shared" ref="Y948" si="2083">+Q948-X948</f>
        <v>4.7399999999999949</v>
      </c>
      <c r="Z948" s="6">
        <f>+Y948</f>
        <v>4.7399999999999949</v>
      </c>
      <c r="AA948" s="2"/>
      <c r="AB948" s="2"/>
      <c r="AC948" s="3"/>
      <c r="AD948" s="2"/>
      <c r="AE948" s="2"/>
      <c r="AF948" s="2"/>
      <c r="AG948" s="2"/>
      <c r="AH948" s="2" t="s">
        <v>2523</v>
      </c>
      <c r="AI948" s="2" t="s">
        <v>2522</v>
      </c>
      <c r="AJ948" s="2"/>
      <c r="AK948" s="2"/>
      <c r="AL948" s="2" t="s">
        <v>3248</v>
      </c>
      <c r="AM948" s="16" t="s">
        <v>3079</v>
      </c>
      <c r="AN948" s="2"/>
      <c r="AO948" s="2" t="s">
        <v>2723</v>
      </c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</row>
    <row r="949" spans="3:58" ht="17.25" customHeight="1">
      <c r="C949" s="1">
        <v>43940</v>
      </c>
      <c r="E949" s="2" t="s">
        <v>2024</v>
      </c>
      <c r="F949" s="2"/>
      <c r="G949" s="2" t="s">
        <v>4251</v>
      </c>
      <c r="H949" s="2" t="s">
        <v>2518</v>
      </c>
      <c r="I949" s="2"/>
      <c r="J949" s="2">
        <v>1</v>
      </c>
      <c r="K949" s="2"/>
      <c r="L949" s="3">
        <v>53.85</v>
      </c>
      <c r="M949" s="3">
        <v>5.38</v>
      </c>
      <c r="N949" s="3">
        <v>2.87</v>
      </c>
      <c r="O949" s="3"/>
      <c r="P949" s="3">
        <v>4.63</v>
      </c>
      <c r="Q949" s="6">
        <f t="shared" ref="Q949" si="2084">+L949-M949-N949+P949</f>
        <v>50.230000000000004</v>
      </c>
      <c r="R949" s="3"/>
      <c r="S949" s="3">
        <v>36.979999999999997</v>
      </c>
      <c r="T949" s="3">
        <v>3.38</v>
      </c>
      <c r="U949" s="3"/>
      <c r="V949" s="3"/>
      <c r="W949" s="3"/>
      <c r="X949" s="2">
        <f t="shared" ref="X949" si="2085">+S949+T949++U949+V949-W949</f>
        <v>40.36</v>
      </c>
      <c r="Y949" s="6">
        <f t="shared" ref="Y949" si="2086">+Q949-X949</f>
        <v>9.8700000000000045</v>
      </c>
      <c r="Z949" s="6">
        <f>+Y949</f>
        <v>9.8700000000000045</v>
      </c>
      <c r="AA949" s="2"/>
      <c r="AB949" s="2"/>
      <c r="AC949" s="3"/>
      <c r="AD949" s="2"/>
      <c r="AE949" s="2"/>
      <c r="AF949" s="2"/>
      <c r="AG949" s="2"/>
      <c r="AH949" s="2" t="s">
        <v>2520</v>
      </c>
      <c r="AI949" s="2" t="s">
        <v>2519</v>
      </c>
      <c r="AJ949" s="2"/>
      <c r="AK949" s="2"/>
      <c r="AL949" s="2"/>
      <c r="AM949" s="2"/>
      <c r="AN949" s="2"/>
      <c r="AO949" s="2" t="s">
        <v>2655</v>
      </c>
      <c r="AP949" s="2" t="s">
        <v>2606</v>
      </c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</row>
    <row r="950" spans="3:58" ht="17.25" customHeight="1">
      <c r="C950" s="1">
        <v>43939</v>
      </c>
      <c r="E950" s="2" t="s">
        <v>2024</v>
      </c>
      <c r="F950" s="2"/>
      <c r="G950" s="2" t="s">
        <v>2488</v>
      </c>
      <c r="H950" s="2" t="s">
        <v>2489</v>
      </c>
      <c r="I950" s="2"/>
      <c r="J950" s="2">
        <v>1</v>
      </c>
      <c r="K950" s="2"/>
      <c r="L950" s="3">
        <v>53.85</v>
      </c>
      <c r="M950" s="3">
        <v>5.38</v>
      </c>
      <c r="N950" s="3">
        <v>2.83</v>
      </c>
      <c r="O950" s="3">
        <f>3.63</f>
        <v>3.63</v>
      </c>
      <c r="P950" s="3">
        <f>3.63-3.63</f>
        <v>0</v>
      </c>
      <c r="Q950" s="6">
        <f t="shared" ref="Q950" si="2087">+L950-M950-N950+P950</f>
        <v>45.64</v>
      </c>
      <c r="R950" s="3"/>
      <c r="S950" s="3">
        <v>36.979999999999997</v>
      </c>
      <c r="T950" s="3">
        <v>2.5</v>
      </c>
      <c r="U950" s="3"/>
      <c r="V950" s="3"/>
      <c r="W950" s="3"/>
      <c r="X950" s="2">
        <f t="shared" ref="X950" si="2088">+S950+T950++U950+V950-W950</f>
        <v>39.479999999999997</v>
      </c>
      <c r="Y950" s="6">
        <f t="shared" ref="Y950" si="2089">+Q950-X950</f>
        <v>6.1600000000000037</v>
      </c>
      <c r="Z950" s="6">
        <f>+Y950</f>
        <v>6.1600000000000037</v>
      </c>
      <c r="AA950" s="2"/>
      <c r="AB950" s="2"/>
      <c r="AC950" s="3"/>
      <c r="AD950" s="2"/>
      <c r="AE950" s="2"/>
      <c r="AF950" s="2"/>
      <c r="AG950" s="2"/>
      <c r="AH950" s="2" t="s">
        <v>2491</v>
      </c>
      <c r="AI950" s="2" t="s">
        <v>2490</v>
      </c>
      <c r="AJ950" s="2"/>
      <c r="AK950" s="2"/>
      <c r="AL950" s="2"/>
      <c r="AM950" s="2"/>
      <c r="AN950" s="2"/>
      <c r="AO950" s="2" t="s">
        <v>2597</v>
      </c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</row>
    <row r="951" spans="3:58" ht="17.25" customHeight="1">
      <c r="C951" s="1">
        <v>43939</v>
      </c>
      <c r="E951" s="2" t="s">
        <v>2024</v>
      </c>
      <c r="F951" s="2"/>
      <c r="G951" s="2" t="s">
        <v>2492</v>
      </c>
      <c r="H951" s="2" t="s">
        <v>2493</v>
      </c>
      <c r="I951" s="2"/>
      <c r="J951" s="2">
        <v>1</v>
      </c>
      <c r="K951" s="2"/>
      <c r="L951" s="3">
        <v>53.85</v>
      </c>
      <c r="M951" s="3">
        <v>5.38</v>
      </c>
      <c r="N951" s="3">
        <v>2.86</v>
      </c>
      <c r="O951" s="3">
        <f>4.31</f>
        <v>4.3099999999999996</v>
      </c>
      <c r="P951" s="3">
        <f>4.31-4.31</f>
        <v>0</v>
      </c>
      <c r="Q951" s="6">
        <f t="shared" ref="Q951:Q952" si="2090">+L951-M951-N951+P951</f>
        <v>45.61</v>
      </c>
      <c r="R951" s="3"/>
      <c r="S951" s="3">
        <v>36.979999999999997</v>
      </c>
      <c r="T951" s="3">
        <v>2.96</v>
      </c>
      <c r="U951" s="3"/>
      <c r="V951" s="3"/>
      <c r="W951" s="3"/>
      <c r="X951" s="2">
        <f t="shared" ref="X951" si="2091">+S951+T951++U951+V951-W951</f>
        <v>39.94</v>
      </c>
      <c r="Y951" s="6">
        <f t="shared" ref="Y951" si="2092">+Q951-X951</f>
        <v>5.6700000000000017</v>
      </c>
      <c r="Z951" s="6">
        <f>+Y951</f>
        <v>5.6700000000000017</v>
      </c>
      <c r="AA951" s="2"/>
      <c r="AB951" s="2"/>
      <c r="AC951" s="3"/>
      <c r="AD951" s="2"/>
      <c r="AE951" s="2"/>
      <c r="AF951" s="2"/>
      <c r="AG951" s="2"/>
      <c r="AH951" s="2" t="s">
        <v>2495</v>
      </c>
      <c r="AI951" s="2" t="s">
        <v>2494</v>
      </c>
      <c r="AJ951" s="2"/>
      <c r="AK951" s="2"/>
      <c r="AL951" s="2"/>
      <c r="AM951" s="2"/>
      <c r="AN951" s="2"/>
      <c r="AO951" s="2" t="s">
        <v>2596</v>
      </c>
      <c r="AP951" s="2" t="s">
        <v>2606</v>
      </c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</row>
    <row r="952" spans="3:58" ht="17.25" customHeight="1">
      <c r="C952" s="1">
        <v>43939</v>
      </c>
      <c r="E952" s="2" t="s">
        <v>2513</v>
      </c>
      <c r="F952" s="2"/>
      <c r="G952" s="2" t="s">
        <v>2387</v>
      </c>
      <c r="H952" s="2" t="s">
        <v>2388</v>
      </c>
      <c r="I952" s="2"/>
      <c r="J952" s="2">
        <v>1</v>
      </c>
      <c r="K952" s="2"/>
      <c r="L952" s="3">
        <v>82.5</v>
      </c>
      <c r="M952" s="3">
        <v>8.25</v>
      </c>
      <c r="N952" s="3">
        <v>4.25</v>
      </c>
      <c r="O952" s="3">
        <f>7.32</f>
        <v>7.32</v>
      </c>
      <c r="P952" s="3">
        <f>7.32-7.32</f>
        <v>0</v>
      </c>
      <c r="Q952" s="6">
        <f t="shared" si="2090"/>
        <v>70</v>
      </c>
      <c r="R952" s="3"/>
      <c r="S952" s="3">
        <v>66.95</v>
      </c>
      <c r="T952" s="3">
        <v>5.9</v>
      </c>
      <c r="U952" s="3"/>
      <c r="V952" s="3"/>
      <c r="W952" s="3"/>
      <c r="X952" s="2">
        <f t="shared" ref="X952" si="2093">+S952+T952++U952+V952-W952</f>
        <v>72.850000000000009</v>
      </c>
      <c r="Y952" s="6">
        <f t="shared" ref="Y952" si="2094">+Q952-X952</f>
        <v>-2.8500000000000085</v>
      </c>
      <c r="Z952" s="2"/>
      <c r="AA952" s="2"/>
      <c r="AB952" s="2"/>
      <c r="AC952" s="3"/>
      <c r="AD952" s="2"/>
      <c r="AE952" s="2"/>
      <c r="AF952" s="2"/>
      <c r="AG952" s="2"/>
      <c r="AH952" s="2" t="s">
        <v>2390</v>
      </c>
      <c r="AI952" s="2" t="s">
        <v>2389</v>
      </c>
      <c r="AJ952" s="2"/>
      <c r="AK952" s="2"/>
      <c r="AL952" s="2"/>
      <c r="AM952" s="2"/>
      <c r="AN952" s="2"/>
      <c r="AO952" s="2" t="s">
        <v>2798</v>
      </c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</row>
    <row r="953" spans="3:58" ht="17.25" customHeight="1">
      <c r="C953" s="1">
        <v>43939</v>
      </c>
      <c r="E953" s="2" t="s">
        <v>2512</v>
      </c>
      <c r="F953" s="2"/>
      <c r="G953" s="2" t="s">
        <v>2387</v>
      </c>
      <c r="H953" s="2" t="s">
        <v>2388</v>
      </c>
      <c r="I953" s="2"/>
      <c r="J953" s="2">
        <v>1</v>
      </c>
      <c r="K953" s="2"/>
      <c r="L953" s="3">
        <v>82.5</v>
      </c>
      <c r="M953" s="3">
        <v>8.25</v>
      </c>
      <c r="N953" s="3">
        <v>4.25</v>
      </c>
      <c r="O953" s="3">
        <f>7.32</f>
        <v>7.32</v>
      </c>
      <c r="P953" s="3">
        <f>7.32-7.32</f>
        <v>0</v>
      </c>
      <c r="Q953" s="6">
        <f t="shared" ref="Q953" si="2095">+L953-M953-N953+P953</f>
        <v>70</v>
      </c>
      <c r="R953" s="3"/>
      <c r="S953" s="3">
        <v>66.95</v>
      </c>
      <c r="T953" s="3">
        <v>5.9</v>
      </c>
      <c r="U953" s="3"/>
      <c r="V953" s="3"/>
      <c r="W953" s="3"/>
      <c r="X953" s="2">
        <f t="shared" ref="X953" si="2096">+S953+T953++U953+V953-W953</f>
        <v>72.850000000000009</v>
      </c>
      <c r="Y953" s="6">
        <f t="shared" ref="Y953" si="2097">+Q953-X953</f>
        <v>-2.8500000000000085</v>
      </c>
      <c r="Z953" s="2"/>
      <c r="AA953" s="2"/>
      <c r="AB953" s="2"/>
      <c r="AC953" s="3"/>
      <c r="AD953" s="2"/>
      <c r="AE953" s="2"/>
      <c r="AF953" s="2"/>
      <c r="AG953" s="2"/>
      <c r="AH953" s="2" t="s">
        <v>2390</v>
      </c>
      <c r="AI953" s="2" t="s">
        <v>2389</v>
      </c>
      <c r="AJ953" s="2"/>
      <c r="AK953" s="2"/>
      <c r="AL953" s="2"/>
      <c r="AM953" s="2"/>
      <c r="AN953" s="2"/>
      <c r="AO953" s="2" t="s">
        <v>2798</v>
      </c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</row>
    <row r="954" spans="3:58" ht="17.25" customHeight="1">
      <c r="C954" s="1">
        <v>43939</v>
      </c>
      <c r="E954" s="2" t="s">
        <v>2024</v>
      </c>
      <c r="F954" s="2"/>
      <c r="G954" s="2" t="s">
        <v>2496</v>
      </c>
      <c r="H954" s="2" t="s">
        <v>2497</v>
      </c>
      <c r="I954" s="2"/>
      <c r="J954" s="2">
        <v>1</v>
      </c>
      <c r="K954" s="2"/>
      <c r="L954" s="3">
        <v>53.85</v>
      </c>
      <c r="M954" s="3">
        <v>5.38</v>
      </c>
      <c r="N954" s="3">
        <v>2.8</v>
      </c>
      <c r="O954" s="3">
        <f>2.96</f>
        <v>2.96</v>
      </c>
      <c r="P954" s="3">
        <f>2.96-2.96</f>
        <v>0</v>
      </c>
      <c r="Q954" s="6">
        <f t="shared" ref="Q954" si="2098">+L954-M954-N954+P954</f>
        <v>45.67</v>
      </c>
      <c r="R954" s="3"/>
      <c r="S954" s="3">
        <v>36.99</v>
      </c>
      <c r="T954" s="3">
        <v>2.0299999999999998</v>
      </c>
      <c r="U954" s="3"/>
      <c r="V954" s="3"/>
      <c r="W954" s="3"/>
      <c r="X954" s="2">
        <f t="shared" ref="X954" si="2099">+S954+T954++U954+V954-W954</f>
        <v>39.020000000000003</v>
      </c>
      <c r="Y954" s="6">
        <f t="shared" ref="Y954" si="2100">+Q954-X954</f>
        <v>6.6499999999999986</v>
      </c>
      <c r="Z954" s="6">
        <f>+Y954</f>
        <v>6.6499999999999986</v>
      </c>
      <c r="AA954" s="2"/>
      <c r="AB954" s="2"/>
      <c r="AC954" s="3"/>
      <c r="AD954" s="2"/>
      <c r="AE954" s="2"/>
      <c r="AF954" s="2"/>
      <c r="AG954" s="2"/>
      <c r="AH954" s="2" t="s">
        <v>2499</v>
      </c>
      <c r="AI954" s="2" t="s">
        <v>2498</v>
      </c>
      <c r="AJ954" s="2"/>
      <c r="AK954" s="2"/>
      <c r="AL954" s="2"/>
      <c r="AM954" s="2"/>
      <c r="AN954" s="2"/>
      <c r="AO954" s="2" t="s">
        <v>2595</v>
      </c>
      <c r="AP954" s="2" t="s">
        <v>2606</v>
      </c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</row>
    <row r="955" spans="3:58" ht="17.25" customHeight="1">
      <c r="C955" s="1">
        <v>43939</v>
      </c>
      <c r="E955" s="2" t="s">
        <v>2024</v>
      </c>
      <c r="F955" s="2"/>
      <c r="G955" s="2" t="s">
        <v>2500</v>
      </c>
      <c r="H955" s="2" t="s">
        <v>2501</v>
      </c>
      <c r="I955" s="2"/>
      <c r="J955" s="2">
        <v>1</v>
      </c>
      <c r="K955" s="2"/>
      <c r="L955" s="3">
        <v>53.85</v>
      </c>
      <c r="M955" s="3">
        <v>5.38</v>
      </c>
      <c r="N955" s="3">
        <v>2.84</v>
      </c>
      <c r="O955" s="3">
        <f>3.77</f>
        <v>3.77</v>
      </c>
      <c r="P955" s="3">
        <f>3.77-3.77</f>
        <v>0</v>
      </c>
      <c r="Q955" s="6">
        <f t="shared" ref="Q955:Q956" si="2101">+L955-M955-N955+P955</f>
        <v>45.629999999999995</v>
      </c>
      <c r="R955" s="3"/>
      <c r="S955" s="3">
        <v>36.979999999999997</v>
      </c>
      <c r="T955" s="3">
        <v>2.59</v>
      </c>
      <c r="U955" s="3"/>
      <c r="V955" s="3"/>
      <c r="W955" s="3"/>
      <c r="X955" s="2">
        <f t="shared" ref="X955:X956" si="2102">+S955+T955++U955+V955-W955</f>
        <v>39.569999999999993</v>
      </c>
      <c r="Y955" s="6">
        <f t="shared" ref="Y955:Y956" si="2103">+Q955-X955</f>
        <v>6.0600000000000023</v>
      </c>
      <c r="Z955" s="6">
        <f>+Y955</f>
        <v>6.0600000000000023</v>
      </c>
      <c r="AA955" s="2"/>
      <c r="AB955" s="2"/>
      <c r="AC955" s="3"/>
      <c r="AD955" s="2"/>
      <c r="AE955" s="2"/>
      <c r="AF955" s="2"/>
      <c r="AG955" s="2"/>
      <c r="AH955" s="2" t="s">
        <v>2503</v>
      </c>
      <c r="AI955" s="2" t="s">
        <v>2502</v>
      </c>
      <c r="AJ955" s="2"/>
      <c r="AK955" s="2"/>
      <c r="AL955" s="2"/>
      <c r="AM955" s="2"/>
      <c r="AN955" s="2"/>
      <c r="AO955" s="2" t="s">
        <v>2605</v>
      </c>
      <c r="AP955" s="2" t="s">
        <v>2810</v>
      </c>
      <c r="AQ955" s="2"/>
      <c r="AR955" s="2" t="s">
        <v>2804</v>
      </c>
      <c r="AS955" s="2"/>
      <c r="AT955" s="2" t="s">
        <v>2674</v>
      </c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</row>
    <row r="956" spans="3:58" ht="17.25" customHeight="1">
      <c r="C956" s="1">
        <v>43939</v>
      </c>
      <c r="E956" s="2" t="s">
        <v>2481</v>
      </c>
      <c r="F956" s="2"/>
      <c r="G956" s="2" t="s">
        <v>2504</v>
      </c>
      <c r="H956" s="2" t="s">
        <v>2505</v>
      </c>
      <c r="I956" s="2"/>
      <c r="J956" s="2">
        <v>1</v>
      </c>
      <c r="K956" s="2"/>
      <c r="L956" s="3">
        <v>83.5</v>
      </c>
      <c r="M956" s="3">
        <v>8.35</v>
      </c>
      <c r="N956" s="3">
        <v>4.2300000000000004</v>
      </c>
      <c r="O956" s="3"/>
      <c r="P956" s="3">
        <v>5.85</v>
      </c>
      <c r="Q956" s="6">
        <f t="shared" si="2101"/>
        <v>76.77</v>
      </c>
      <c r="R956" s="3"/>
      <c r="S956" s="3">
        <v>65.19</v>
      </c>
      <c r="T956" s="3">
        <v>4.57</v>
      </c>
      <c r="U956" s="3"/>
      <c r="V956" s="3"/>
      <c r="W956" s="3">
        <v>6.51</v>
      </c>
      <c r="X956" s="2">
        <f t="shared" si="2102"/>
        <v>63.249999999999993</v>
      </c>
      <c r="Y956" s="6">
        <f t="shared" si="2103"/>
        <v>13.520000000000003</v>
      </c>
      <c r="Z956" s="2"/>
      <c r="AA956" s="6">
        <f>+Y956</f>
        <v>13.520000000000003</v>
      </c>
      <c r="AB956" s="2"/>
      <c r="AC956" s="3"/>
      <c r="AD956" s="2"/>
      <c r="AE956" s="2"/>
      <c r="AF956" s="2"/>
      <c r="AG956" s="2"/>
      <c r="AH956" s="2" t="s">
        <v>2510</v>
      </c>
      <c r="AI956" s="2" t="s">
        <v>2509</v>
      </c>
      <c r="AJ956" s="2"/>
      <c r="AK956" s="2"/>
      <c r="AL956" s="2"/>
      <c r="AM956" s="2"/>
      <c r="AN956" s="2"/>
      <c r="AO956" s="2" t="s">
        <v>2653</v>
      </c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</row>
    <row r="957" spans="3:58" ht="17.25" customHeight="1">
      <c r="C957" s="1">
        <v>43939</v>
      </c>
      <c r="E957" s="2" t="s">
        <v>2024</v>
      </c>
      <c r="F957" s="2"/>
      <c r="G957" s="2" t="s">
        <v>2506</v>
      </c>
      <c r="H957" s="2" t="s">
        <v>2745</v>
      </c>
      <c r="I957" s="2"/>
      <c r="J957" s="2">
        <v>0</v>
      </c>
      <c r="K957" s="2"/>
      <c r="L957" s="3">
        <v>0</v>
      </c>
      <c r="M957" s="3">
        <v>0</v>
      </c>
      <c r="N957" s="3">
        <v>0</v>
      </c>
      <c r="O957" s="3">
        <f>3.77</f>
        <v>3.77</v>
      </c>
      <c r="P957" s="3">
        <f>3.77-3.77</f>
        <v>0</v>
      </c>
      <c r="Q957" s="6">
        <f t="shared" ref="Q957:Q958" si="2104">+L957-M957-N957+P957</f>
        <v>0</v>
      </c>
      <c r="R957" s="3"/>
      <c r="S957" s="3">
        <v>0</v>
      </c>
      <c r="T957" s="3">
        <v>0</v>
      </c>
      <c r="U957" s="3"/>
      <c r="V957" s="3"/>
      <c r="W957" s="3"/>
      <c r="X957" s="2">
        <f t="shared" ref="X957:X958" si="2105">+S957+T957++U957+V957-W957</f>
        <v>0</v>
      </c>
      <c r="Y957" s="6">
        <f t="shared" ref="Y957:Y958" si="2106">+Q957-X957</f>
        <v>0</v>
      </c>
      <c r="Z957" s="6">
        <f>+Y957</f>
        <v>0</v>
      </c>
      <c r="AA957" s="2"/>
      <c r="AB957" s="2"/>
      <c r="AC957" s="3"/>
      <c r="AD957" s="2"/>
      <c r="AE957" s="2"/>
      <c r="AF957" s="2"/>
      <c r="AG957" s="2"/>
      <c r="AH957" s="2" t="s">
        <v>2508</v>
      </c>
      <c r="AI957" s="2" t="s">
        <v>2507</v>
      </c>
      <c r="AJ957" s="2"/>
      <c r="AK957" s="2"/>
      <c r="AL957" s="2"/>
      <c r="AM957" s="2"/>
      <c r="AN957" s="2"/>
      <c r="AO957" s="2" t="s">
        <v>2532</v>
      </c>
      <c r="AP957" s="2" t="s">
        <v>2606</v>
      </c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</row>
    <row r="958" spans="3:58" ht="17.25" customHeight="1">
      <c r="C958" s="1">
        <v>43939</v>
      </c>
      <c r="E958" s="2" t="s">
        <v>1922</v>
      </c>
      <c r="F958" s="2"/>
      <c r="G958" s="2" t="s">
        <v>2480</v>
      </c>
      <c r="H958" s="2" t="s">
        <v>2511</v>
      </c>
      <c r="I958" s="2"/>
      <c r="J958" s="2">
        <v>1</v>
      </c>
      <c r="K958" s="2"/>
      <c r="L958" s="3">
        <v>22.75</v>
      </c>
      <c r="M958" s="3">
        <v>2.27</v>
      </c>
      <c r="N958" s="3">
        <v>1.38</v>
      </c>
      <c r="O958" s="3">
        <f>1.72</f>
        <v>1.72</v>
      </c>
      <c r="P958" s="3">
        <f>1.72-1.72</f>
        <v>0</v>
      </c>
      <c r="Q958" s="6">
        <f t="shared" si="2104"/>
        <v>19.100000000000001</v>
      </c>
      <c r="R958" s="3"/>
      <c r="S958" s="3">
        <v>14.49</v>
      </c>
      <c r="T958" s="3">
        <v>1.1599999999999999</v>
      </c>
      <c r="U958" s="3"/>
      <c r="V958" s="3"/>
      <c r="W958" s="3"/>
      <c r="X958" s="3">
        <f t="shared" si="2105"/>
        <v>15.65</v>
      </c>
      <c r="Y958" s="3">
        <f t="shared" si="2106"/>
        <v>3.4500000000000011</v>
      </c>
      <c r="Z958" s="2"/>
      <c r="AA958" s="2"/>
      <c r="AB958" s="2"/>
      <c r="AC958" s="3"/>
      <c r="AD958" s="2"/>
      <c r="AE958" s="2"/>
      <c r="AF958" s="2"/>
      <c r="AG958" s="2"/>
      <c r="AH958" s="2" t="s">
        <v>2510</v>
      </c>
      <c r="AI958" s="2" t="s">
        <v>2509</v>
      </c>
      <c r="AJ958" s="2"/>
      <c r="AK958" s="2"/>
      <c r="AL958" s="2"/>
      <c r="AM958" s="2"/>
      <c r="AN958" s="2"/>
      <c r="AO958" s="2" t="s">
        <v>2604</v>
      </c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</row>
    <row r="959" spans="3:58" ht="17.25" customHeight="1">
      <c r="C959" s="1">
        <v>43939</v>
      </c>
      <c r="E959" s="2" t="s">
        <v>2024</v>
      </c>
      <c r="F959" s="2"/>
      <c r="G959" s="2" t="s">
        <v>2479</v>
      </c>
      <c r="H959" s="2" t="s">
        <v>2514</v>
      </c>
      <c r="I959" s="2"/>
      <c r="J959" s="2">
        <v>1</v>
      </c>
      <c r="K959" s="2"/>
      <c r="L959" s="3">
        <v>53.85</v>
      </c>
      <c r="M959" s="3">
        <v>5.38</v>
      </c>
      <c r="N959" s="3">
        <v>2.82</v>
      </c>
      <c r="O959" s="3">
        <f>3.37</f>
        <v>3.37</v>
      </c>
      <c r="P959" s="3">
        <f>3.37-3.37</f>
        <v>0</v>
      </c>
      <c r="Q959" s="6">
        <f t="shared" ref="Q959" si="2107">+L959-M959-N959+P959</f>
        <v>45.65</v>
      </c>
      <c r="R959" s="3"/>
      <c r="S959" s="3">
        <v>36.979999999999997</v>
      </c>
      <c r="T959" s="3">
        <v>2.31</v>
      </c>
      <c r="U959" s="3"/>
      <c r="V959" s="3"/>
      <c r="W959" s="3"/>
      <c r="X959" s="2">
        <f t="shared" ref="X959" si="2108">+S959+T959++U959+V959-W959</f>
        <v>39.29</v>
      </c>
      <c r="Y959" s="6">
        <f t="shared" ref="Y959" si="2109">+Q959-X959</f>
        <v>6.3599999999999994</v>
      </c>
      <c r="Z959" s="6">
        <f>+Y959</f>
        <v>6.3599999999999994</v>
      </c>
      <c r="AA959" s="2"/>
      <c r="AB959" s="2"/>
      <c r="AC959" s="3"/>
      <c r="AD959" s="2"/>
      <c r="AE959" s="2"/>
      <c r="AF959" s="2"/>
      <c r="AG959" s="2"/>
      <c r="AH959" s="2"/>
      <c r="AI959" s="2" t="s">
        <v>2869</v>
      </c>
      <c r="AJ959" s="2"/>
      <c r="AK959" s="2"/>
      <c r="AL959" s="2"/>
      <c r="AM959" s="2"/>
      <c r="AN959" s="2"/>
      <c r="AO959" s="2" t="s">
        <v>2531</v>
      </c>
      <c r="AP959" s="2" t="s">
        <v>2606</v>
      </c>
      <c r="AQ959" s="2"/>
      <c r="AR959" s="2"/>
      <c r="AS959" s="2"/>
      <c r="AT959" s="2" t="s">
        <v>3136</v>
      </c>
      <c r="AU959" s="2" t="s">
        <v>3947</v>
      </c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</row>
    <row r="960" spans="3:58" ht="17.25" customHeight="1">
      <c r="C960" s="1">
        <v>43939</v>
      </c>
      <c r="E960" s="2" t="s">
        <v>2471</v>
      </c>
      <c r="F960" s="2"/>
      <c r="G960" s="2" t="s">
        <v>2475</v>
      </c>
      <c r="H960" s="2" t="s">
        <v>2476</v>
      </c>
      <c r="I960" s="2"/>
      <c r="J960" s="2">
        <v>1</v>
      </c>
      <c r="K960" s="2"/>
      <c r="L960" s="3">
        <v>83.5</v>
      </c>
      <c r="M960" s="3">
        <v>8.35</v>
      </c>
      <c r="N960" s="3">
        <v>4.2300000000000004</v>
      </c>
      <c r="O960" s="3">
        <f>5.93</f>
        <v>5.93</v>
      </c>
      <c r="P960" s="3">
        <f>5.93-5.93</f>
        <v>0</v>
      </c>
      <c r="Q960" s="6">
        <f t="shared" ref="Q960:Q974" si="2110">+L960-M960-N960+P960</f>
        <v>70.92</v>
      </c>
      <c r="R960" s="3"/>
      <c r="S960" s="3">
        <v>65.19</v>
      </c>
      <c r="T960" s="3">
        <v>4.63</v>
      </c>
      <c r="U960" s="3"/>
      <c r="V960" s="3"/>
      <c r="W960" s="3">
        <v>6.97</v>
      </c>
      <c r="X960" s="2">
        <f t="shared" ref="X960" si="2111">+S960+T960++U960+V960-W960</f>
        <v>62.849999999999994</v>
      </c>
      <c r="Y960" s="6">
        <f t="shared" ref="Y960" si="2112">+Q960-X960</f>
        <v>8.0700000000000074</v>
      </c>
      <c r="Z960" s="2"/>
      <c r="AA960" s="2"/>
      <c r="AB960" s="2"/>
      <c r="AC960" s="3"/>
      <c r="AD960" s="2"/>
      <c r="AE960" s="2"/>
      <c r="AF960" s="2"/>
      <c r="AG960" s="2"/>
      <c r="AH960" s="2" t="s">
        <v>2478</v>
      </c>
      <c r="AI960" s="2" t="s">
        <v>2477</v>
      </c>
      <c r="AJ960" s="2"/>
      <c r="AK960" s="2"/>
      <c r="AL960" s="2"/>
      <c r="AM960" s="2"/>
      <c r="AN960" s="2"/>
      <c r="AO960" s="2" t="s">
        <v>2535</v>
      </c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</row>
    <row r="961" spans="3:58" ht="17.25" customHeight="1">
      <c r="C961" s="1">
        <v>43939</v>
      </c>
      <c r="E961" s="2" t="s">
        <v>2472</v>
      </c>
      <c r="F961" s="2"/>
      <c r="G961" s="2" t="s">
        <v>3793</v>
      </c>
      <c r="H961" s="2" t="s">
        <v>5706</v>
      </c>
      <c r="I961" s="2"/>
      <c r="J961" s="2">
        <v>1</v>
      </c>
      <c r="K961" s="2"/>
      <c r="L961" s="3">
        <v>0</v>
      </c>
      <c r="M961" s="3">
        <v>0</v>
      </c>
      <c r="N961" s="3">
        <v>0</v>
      </c>
      <c r="O961" s="3"/>
      <c r="P961" s="3">
        <v>0</v>
      </c>
      <c r="Q961" s="6">
        <f t="shared" si="2110"/>
        <v>0</v>
      </c>
      <c r="R961" s="3"/>
      <c r="S961" s="3">
        <v>0</v>
      </c>
      <c r="T961" s="3">
        <v>0</v>
      </c>
      <c r="U961" s="3"/>
      <c r="V961" s="3"/>
      <c r="W961" s="3"/>
      <c r="X961" s="2">
        <f t="shared" ref="X961" si="2113">+S961+T961++U961+V961-W961</f>
        <v>0</v>
      </c>
      <c r="Y961" s="6">
        <f t="shared" ref="Y961" si="2114">+Q961-X961</f>
        <v>0</v>
      </c>
      <c r="Z961" s="2"/>
      <c r="AA961" s="2"/>
      <c r="AB961" s="2"/>
      <c r="AC961" s="3"/>
      <c r="AD961" s="2"/>
      <c r="AE961" s="2"/>
      <c r="AF961" s="2"/>
      <c r="AG961" s="2"/>
      <c r="AH961" s="2" t="s">
        <v>2474</v>
      </c>
      <c r="AI961" s="2" t="s">
        <v>2473</v>
      </c>
      <c r="AJ961" s="2"/>
      <c r="AK961" s="2"/>
      <c r="AL961" s="2" t="s">
        <v>3249</v>
      </c>
      <c r="AM961" s="2" t="s">
        <v>3560</v>
      </c>
      <c r="AN961" s="2"/>
      <c r="AO961" s="2" t="s">
        <v>2591</v>
      </c>
      <c r="AP961" s="2"/>
      <c r="AQ961" s="2"/>
      <c r="AR961" s="16" t="s">
        <v>3417</v>
      </c>
      <c r="AS961" s="2"/>
      <c r="AU961" s="2" t="s">
        <v>5690</v>
      </c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</row>
    <row r="962" spans="3:58" ht="17.25" customHeight="1">
      <c r="C962" s="1">
        <v>43939</v>
      </c>
      <c r="E962" s="2" t="s">
        <v>2024</v>
      </c>
      <c r="F962" s="2"/>
      <c r="G962" s="2" t="s">
        <v>3608</v>
      </c>
      <c r="H962" s="2" t="s">
        <v>2467</v>
      </c>
      <c r="I962" s="2"/>
      <c r="J962" s="2">
        <v>1</v>
      </c>
      <c r="K962" s="2"/>
      <c r="L962" s="3">
        <v>53.85</v>
      </c>
      <c r="M962" s="3">
        <v>5.38</v>
      </c>
      <c r="N962" s="3">
        <v>2.84</v>
      </c>
      <c r="O962" s="3"/>
      <c r="P962" s="3">
        <v>3.77</v>
      </c>
      <c r="Q962" s="6">
        <f t="shared" si="2110"/>
        <v>49.4</v>
      </c>
      <c r="R962" s="3"/>
      <c r="S962" s="3">
        <v>36.99</v>
      </c>
      <c r="T962" s="3">
        <v>3.46</v>
      </c>
      <c r="U962" s="3"/>
      <c r="V962" s="3"/>
      <c r="W962" s="3"/>
      <c r="X962" s="2">
        <f t="shared" ref="X962" si="2115">+S962+T962++U962+V962-W962</f>
        <v>40.450000000000003</v>
      </c>
      <c r="Y962" s="6">
        <f t="shared" ref="Y962" si="2116">+Q962-X962</f>
        <v>8.9499999999999957</v>
      </c>
      <c r="Z962" s="6">
        <f>+Y962</f>
        <v>8.9499999999999957</v>
      </c>
      <c r="AA962" s="2"/>
      <c r="AB962" s="2"/>
      <c r="AC962" s="3"/>
      <c r="AD962" s="2"/>
      <c r="AE962" s="2"/>
      <c r="AF962" s="2"/>
      <c r="AG962" s="2"/>
      <c r="AH962" s="2" t="s">
        <v>2469</v>
      </c>
      <c r="AI962" s="2" t="s">
        <v>2468</v>
      </c>
      <c r="AJ962" s="2"/>
      <c r="AK962" s="2"/>
      <c r="AL962" s="2"/>
      <c r="AM962" s="2"/>
      <c r="AN962" s="2"/>
      <c r="AO962" s="2" t="s">
        <v>2594</v>
      </c>
      <c r="AP962" s="2" t="s">
        <v>3863</v>
      </c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</row>
    <row r="963" spans="3:58" ht="17.25" customHeight="1">
      <c r="C963" s="1">
        <v>43939</v>
      </c>
      <c r="E963" s="2" t="s">
        <v>2024</v>
      </c>
      <c r="F963" s="2"/>
      <c r="G963" s="2" t="s">
        <v>2464</v>
      </c>
      <c r="H963" s="2" t="s">
        <v>2528</v>
      </c>
      <c r="I963" s="2"/>
      <c r="J963" s="2">
        <v>1</v>
      </c>
      <c r="K963" s="2"/>
      <c r="L963" s="3">
        <v>53.85</v>
      </c>
      <c r="M963" s="3">
        <v>5.38</v>
      </c>
      <c r="N963" s="3">
        <v>2.67</v>
      </c>
      <c r="O963" s="3"/>
      <c r="P963" s="3"/>
      <c r="Q963" s="6">
        <f t="shared" si="2110"/>
        <v>45.8</v>
      </c>
      <c r="R963" s="3"/>
      <c r="S963" s="3">
        <v>36.99</v>
      </c>
      <c r="T963" s="3">
        <v>4.07</v>
      </c>
      <c r="U963" s="3"/>
      <c r="V963" s="3"/>
      <c r="W963" s="3"/>
      <c r="X963" s="2">
        <f t="shared" ref="X963" si="2117">+S963+T963++U963+V963-W963</f>
        <v>41.06</v>
      </c>
      <c r="Y963" s="6">
        <f t="shared" ref="Y963" si="2118">+Q963-X963</f>
        <v>4.7399999999999949</v>
      </c>
      <c r="Z963" s="6">
        <f>+Y963</f>
        <v>4.7399999999999949</v>
      </c>
      <c r="AA963" s="2"/>
      <c r="AB963" s="2"/>
      <c r="AC963" s="3"/>
      <c r="AD963" s="2"/>
      <c r="AE963" s="2"/>
      <c r="AF963" s="2"/>
      <c r="AG963" s="2"/>
      <c r="AH963" s="2" t="s">
        <v>2466</v>
      </c>
      <c r="AI963" s="2" t="s">
        <v>2465</v>
      </c>
      <c r="AJ963" s="2"/>
      <c r="AK963" s="2"/>
      <c r="AL963" s="2" t="s">
        <v>4554</v>
      </c>
      <c r="AM963" s="16" t="s">
        <v>4553</v>
      </c>
      <c r="AN963" s="2"/>
      <c r="AO963" s="2" t="s">
        <v>4552</v>
      </c>
      <c r="AP963" s="2" t="s">
        <v>2805</v>
      </c>
      <c r="AQ963" s="2"/>
      <c r="AR963" s="16" t="s">
        <v>3689</v>
      </c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</row>
    <row r="964" spans="3:58" ht="17.25" customHeight="1">
      <c r="C964" s="1">
        <v>43939</v>
      </c>
      <c r="E964" s="2" t="s">
        <v>2186</v>
      </c>
      <c r="F964" s="2"/>
      <c r="G964" s="2" t="s">
        <v>2458</v>
      </c>
      <c r="H964" s="2" t="s">
        <v>2459</v>
      </c>
      <c r="I964" s="2"/>
      <c r="J964" s="2">
        <v>1</v>
      </c>
      <c r="K964" s="2"/>
      <c r="L964" s="3">
        <v>83.5</v>
      </c>
      <c r="M964" s="3">
        <v>8.35</v>
      </c>
      <c r="N964" s="3">
        <v>4.2300000000000004</v>
      </c>
      <c r="O964" s="3">
        <f>5.85</f>
        <v>5.85</v>
      </c>
      <c r="P964" s="3">
        <f>5.85-5.85</f>
        <v>0</v>
      </c>
      <c r="Q964" s="6">
        <f t="shared" si="2110"/>
        <v>70.92</v>
      </c>
      <c r="R964" s="3"/>
      <c r="S964" s="3">
        <v>65.19</v>
      </c>
      <c r="T964" s="3">
        <v>4.57</v>
      </c>
      <c r="U964" s="3"/>
      <c r="V964" s="3"/>
      <c r="W964" s="3">
        <v>6.51</v>
      </c>
      <c r="X964" s="2">
        <f t="shared" ref="X964" si="2119">+S964+T964++U964+V964-W964</f>
        <v>63.249999999999993</v>
      </c>
      <c r="Y964" s="6">
        <f t="shared" ref="Y964" si="2120">+Q964-X964</f>
        <v>7.6700000000000088</v>
      </c>
      <c r="Z964" s="2"/>
      <c r="AA964" s="6">
        <f>+Y964</f>
        <v>7.6700000000000088</v>
      </c>
      <c r="AB964" s="2"/>
      <c r="AC964" s="3"/>
      <c r="AD964" s="2"/>
      <c r="AE964" s="2"/>
      <c r="AF964" s="2"/>
      <c r="AG964" s="2"/>
      <c r="AH964" s="2" t="s">
        <v>2461</v>
      </c>
      <c r="AI964" s="2" t="s">
        <v>2460</v>
      </c>
      <c r="AJ964" s="2"/>
      <c r="AK964" s="2"/>
      <c r="AL964" s="2"/>
      <c r="AM964" s="2"/>
      <c r="AN964" s="2"/>
      <c r="AO964" s="16" t="s">
        <v>2462</v>
      </c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</row>
    <row r="965" spans="3:58" ht="17.25" customHeight="1">
      <c r="C965" s="1">
        <v>43938</v>
      </c>
      <c r="E965" s="2" t="s">
        <v>2085</v>
      </c>
      <c r="F965" s="2"/>
      <c r="G965" s="2" t="s">
        <v>2450</v>
      </c>
      <c r="H965" s="2" t="s">
        <v>2451</v>
      </c>
      <c r="I965" s="2"/>
      <c r="J965" s="2">
        <v>1</v>
      </c>
      <c r="K965" s="2"/>
      <c r="L965" s="3">
        <v>35</v>
      </c>
      <c r="M965" s="3">
        <v>3.5</v>
      </c>
      <c r="N965" s="3">
        <v>1.93</v>
      </c>
      <c r="O965" s="3">
        <f>2.1</f>
        <v>2.1</v>
      </c>
      <c r="P965" s="3">
        <f>2.1-2.1</f>
        <v>0</v>
      </c>
      <c r="Q965" s="6">
        <f t="shared" si="2110"/>
        <v>29.57</v>
      </c>
      <c r="R965" s="3"/>
      <c r="S965" s="3">
        <v>24.98</v>
      </c>
      <c r="T965" s="3">
        <v>1.5</v>
      </c>
      <c r="U965" s="3"/>
      <c r="V965" s="3"/>
      <c r="W965" s="3"/>
      <c r="X965" s="2">
        <f t="shared" ref="X965" si="2121">+S965+T965++U965+V965-W965</f>
        <v>26.48</v>
      </c>
      <c r="Y965" s="6">
        <f t="shared" ref="Y965" si="2122">+Q965-X965</f>
        <v>3.09</v>
      </c>
      <c r="Z965" s="2"/>
      <c r="AA965" s="2"/>
      <c r="AB965" s="2"/>
      <c r="AC965" s="3"/>
      <c r="AD965" s="2"/>
      <c r="AE965" s="2"/>
      <c r="AF965" s="2"/>
      <c r="AG965" s="2"/>
      <c r="AH965" s="2" t="s">
        <v>2453</v>
      </c>
      <c r="AI965" s="2" t="s">
        <v>2452</v>
      </c>
      <c r="AJ965" s="2"/>
      <c r="AK965" s="2"/>
      <c r="AL965" s="2" t="s">
        <v>3247</v>
      </c>
      <c r="AM965" s="16" t="s">
        <v>3078</v>
      </c>
      <c r="AN965" s="2"/>
      <c r="AO965" s="2" t="s">
        <v>2867</v>
      </c>
      <c r="AP965" s="2" t="s">
        <v>2868</v>
      </c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</row>
    <row r="966" spans="3:58" ht="17.25" customHeight="1">
      <c r="C966" s="1">
        <v>43938</v>
      </c>
      <c r="E966" s="2" t="s">
        <v>2449</v>
      </c>
      <c r="F966" s="2"/>
      <c r="G966" s="2" t="s">
        <v>2454</v>
      </c>
      <c r="H966" s="2" t="s">
        <v>2455</v>
      </c>
      <c r="I966" s="2"/>
      <c r="J966" s="2">
        <v>1</v>
      </c>
      <c r="K966" s="2"/>
      <c r="L966" s="3">
        <v>55</v>
      </c>
      <c r="M966" s="3">
        <v>5.5</v>
      </c>
      <c r="N966" s="3">
        <v>2.9</v>
      </c>
      <c r="O966" s="3">
        <f>4.06</f>
        <v>4.0599999999999996</v>
      </c>
      <c r="P966" s="3">
        <f>4.06-4.06</f>
        <v>0</v>
      </c>
      <c r="Q966" s="6">
        <f t="shared" si="2110"/>
        <v>46.6</v>
      </c>
      <c r="R966" s="3"/>
      <c r="S966" s="3">
        <v>44.67</v>
      </c>
      <c r="T966" s="3">
        <v>3.29</v>
      </c>
      <c r="U966" s="3"/>
      <c r="V966" s="3"/>
      <c r="W966" s="3"/>
      <c r="X966" s="2">
        <f t="shared" ref="X966" si="2123">+S966+T966++U966+V966-W966</f>
        <v>47.96</v>
      </c>
      <c r="Y966" s="6">
        <f t="shared" ref="Y966" si="2124">+Q966-X966</f>
        <v>-1.3599999999999994</v>
      </c>
      <c r="Z966" s="2"/>
      <c r="AA966" s="2"/>
      <c r="AB966" s="2"/>
      <c r="AC966" s="3"/>
      <c r="AD966" s="2"/>
      <c r="AE966" s="2"/>
      <c r="AF966" s="2"/>
      <c r="AG966" s="2"/>
      <c r="AH966" s="2" t="s">
        <v>2457</v>
      </c>
      <c r="AI966" s="2" t="s">
        <v>2456</v>
      </c>
      <c r="AJ966" s="2"/>
      <c r="AK966" s="2"/>
      <c r="AL966" s="2"/>
      <c r="AM966" s="16" t="s">
        <v>2975</v>
      </c>
      <c r="AN966" s="2"/>
      <c r="AO966" s="2" t="s">
        <v>2747</v>
      </c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</row>
    <row r="967" spans="3:58" ht="17.25" customHeight="1">
      <c r="C967" s="1">
        <v>43938</v>
      </c>
      <c r="E967" s="2" t="s">
        <v>2440</v>
      </c>
      <c r="F967" s="2"/>
      <c r="G967" s="2" t="s">
        <v>2445</v>
      </c>
      <c r="H967" s="2" t="s">
        <v>2446</v>
      </c>
      <c r="I967" s="2"/>
      <c r="J967" s="2">
        <v>1</v>
      </c>
      <c r="K967" s="2"/>
      <c r="L967" s="3">
        <v>83.5</v>
      </c>
      <c r="M967" s="3">
        <v>8.35</v>
      </c>
      <c r="N967" s="3">
        <v>4.3</v>
      </c>
      <c r="O967" s="3"/>
      <c r="P967" s="3">
        <v>7.52</v>
      </c>
      <c r="Q967" s="6">
        <f t="shared" si="2110"/>
        <v>78.37</v>
      </c>
      <c r="R967" s="3"/>
      <c r="S967" s="3">
        <v>65.19</v>
      </c>
      <c r="T967" s="3">
        <v>5.87</v>
      </c>
      <c r="U967" s="3"/>
      <c r="V967" s="3">
        <v>0</v>
      </c>
      <c r="W967" s="3">
        <v>6.51</v>
      </c>
      <c r="X967" s="2">
        <f t="shared" ref="X967" si="2125">+S967+T967++U967+V967-W967</f>
        <v>64.55</v>
      </c>
      <c r="Y967" s="6">
        <f t="shared" ref="Y967" si="2126">+Q967-X967</f>
        <v>13.820000000000007</v>
      </c>
      <c r="Z967" s="2"/>
      <c r="AA967" s="6">
        <f>+Y967</f>
        <v>13.820000000000007</v>
      </c>
      <c r="AB967" s="2"/>
      <c r="AC967" s="3"/>
      <c r="AD967" s="2"/>
      <c r="AE967" s="2"/>
      <c r="AF967" s="2"/>
      <c r="AG967" s="2"/>
      <c r="AH967" s="2" t="s">
        <v>2448</v>
      </c>
      <c r="AI967" s="2" t="s">
        <v>2447</v>
      </c>
      <c r="AJ967" s="2"/>
      <c r="AK967" s="2"/>
      <c r="AL967" s="2"/>
      <c r="AM967" s="2"/>
      <c r="AN967" s="2"/>
      <c r="AO967" s="2" t="s">
        <v>2534</v>
      </c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</row>
    <row r="968" spans="3:58" ht="17.25" customHeight="1">
      <c r="C968" s="1">
        <v>43938</v>
      </c>
      <c r="E968" s="2" t="s">
        <v>2439</v>
      </c>
      <c r="F968" s="2"/>
      <c r="G968" s="2" t="s">
        <v>2441</v>
      </c>
      <c r="H968" s="2" t="s">
        <v>2442</v>
      </c>
      <c r="I968" s="2"/>
      <c r="J968" s="2">
        <v>1</v>
      </c>
      <c r="K968" s="2"/>
      <c r="L968" s="3">
        <v>83.5</v>
      </c>
      <c r="M968" s="3">
        <v>8.35</v>
      </c>
      <c r="N968" s="3">
        <v>4.2300000000000004</v>
      </c>
      <c r="O968" s="3">
        <f>5.85</f>
        <v>5.85</v>
      </c>
      <c r="P968" s="3">
        <f>5.85-5.85</f>
        <v>0</v>
      </c>
      <c r="Q968" s="6">
        <f t="shared" si="2110"/>
        <v>70.92</v>
      </c>
      <c r="R968" s="3"/>
      <c r="S968" s="3">
        <v>65.19</v>
      </c>
      <c r="T968" s="3">
        <v>4.57</v>
      </c>
      <c r="U968" s="3"/>
      <c r="V968" s="3"/>
      <c r="W968" s="3">
        <v>6.51</v>
      </c>
      <c r="X968" s="2">
        <f t="shared" ref="X968" si="2127">+S968+T968++U968+V968-W968</f>
        <v>63.249999999999993</v>
      </c>
      <c r="Y968" s="6">
        <f t="shared" ref="Y968" si="2128">+Q968-X968</f>
        <v>7.6700000000000088</v>
      </c>
      <c r="Z968" s="2"/>
      <c r="AA968" s="6">
        <f>+Y968</f>
        <v>7.6700000000000088</v>
      </c>
      <c r="AB968" s="2"/>
      <c r="AC968" s="3"/>
      <c r="AD968" s="2"/>
      <c r="AE968" s="2"/>
      <c r="AF968" s="2"/>
      <c r="AG968" s="2"/>
      <c r="AH968" s="2" t="s">
        <v>2444</v>
      </c>
      <c r="AI968" s="2" t="s">
        <v>2443</v>
      </c>
      <c r="AJ968" s="2"/>
      <c r="AK968" s="2"/>
      <c r="AL968" s="2"/>
      <c r="AM968" s="2"/>
      <c r="AN968" s="2"/>
      <c r="AO968" s="2" t="s">
        <v>2797</v>
      </c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</row>
    <row r="969" spans="3:58" ht="17.25" customHeight="1">
      <c r="C969" s="1">
        <v>43938</v>
      </c>
      <c r="E969" s="2" t="s">
        <v>1305</v>
      </c>
      <c r="F969" s="2"/>
      <c r="G969" s="2" t="s">
        <v>2588</v>
      </c>
      <c r="H969" s="2" t="s">
        <v>2589</v>
      </c>
      <c r="I969" s="2"/>
      <c r="J969" s="2">
        <v>1</v>
      </c>
      <c r="K969" s="2"/>
      <c r="L969" s="3">
        <v>28.95</v>
      </c>
      <c r="M969" s="3">
        <v>2.89</v>
      </c>
      <c r="N969" s="3">
        <v>1.65</v>
      </c>
      <c r="O969" s="3">
        <f>1.81</f>
        <v>1.81</v>
      </c>
      <c r="P969" s="3">
        <f>1.81-1.81</f>
        <v>0</v>
      </c>
      <c r="Q969" s="6">
        <f t="shared" si="2110"/>
        <v>24.41</v>
      </c>
      <c r="R969" s="3"/>
      <c r="S969" s="3">
        <v>17.52</v>
      </c>
      <c r="T969" s="3">
        <v>1.0900000000000001</v>
      </c>
      <c r="U969" s="3"/>
      <c r="V969" s="3"/>
      <c r="W969" s="3"/>
      <c r="X969" s="2">
        <f t="shared" ref="X969" si="2129">+S969+T969++U969+V969-W969</f>
        <v>18.61</v>
      </c>
      <c r="Y969" s="6">
        <f t="shared" ref="Y969" si="2130">+Q969-X969</f>
        <v>5.8000000000000007</v>
      </c>
      <c r="Z969" s="2"/>
      <c r="AA969" s="2"/>
      <c r="AB969" s="2"/>
      <c r="AC969" s="3"/>
      <c r="AD969" s="2"/>
      <c r="AE969" s="2"/>
      <c r="AF969" s="2"/>
      <c r="AG969" s="2"/>
      <c r="AH969" s="2" t="s">
        <v>2438</v>
      </c>
      <c r="AI969" s="2" t="s">
        <v>2437</v>
      </c>
      <c r="AJ969" s="2"/>
      <c r="AK969" s="2"/>
      <c r="AL969" s="2"/>
      <c r="AM969" s="2"/>
      <c r="AN969" s="2"/>
      <c r="AO969" s="2" t="s">
        <v>2590</v>
      </c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</row>
    <row r="970" spans="3:58" ht="17.25" customHeight="1">
      <c r="C970" s="1">
        <v>43938</v>
      </c>
      <c r="E970" s="2" t="s">
        <v>2289</v>
      </c>
      <c r="F970" s="2"/>
      <c r="G970" s="2" t="s">
        <v>2433</v>
      </c>
      <c r="H970" s="2" t="s">
        <v>2434</v>
      </c>
      <c r="I970" s="2"/>
      <c r="J970" s="2">
        <v>1</v>
      </c>
      <c r="K970" s="2"/>
      <c r="L970" s="3">
        <v>28.95</v>
      </c>
      <c r="M970" s="3">
        <v>2.89</v>
      </c>
      <c r="N970" s="3">
        <v>1.65</v>
      </c>
      <c r="O970" s="3">
        <f>1.81</f>
        <v>1.81</v>
      </c>
      <c r="P970" s="3">
        <f>1.81-1.81</f>
        <v>0</v>
      </c>
      <c r="Q970" s="6">
        <f t="shared" si="2110"/>
        <v>24.41</v>
      </c>
      <c r="R970" s="3"/>
      <c r="S970" s="3">
        <v>19.98</v>
      </c>
      <c r="T970" s="3">
        <v>1.25</v>
      </c>
      <c r="U970" s="3"/>
      <c r="V970" s="3"/>
      <c r="W970" s="3"/>
      <c r="X970" s="2">
        <f t="shared" ref="X970" si="2131">+S970+T970++U970+V970-W970</f>
        <v>21.23</v>
      </c>
      <c r="Y970" s="6">
        <f t="shared" ref="Y970" si="2132">+Q970-X970</f>
        <v>3.1799999999999997</v>
      </c>
      <c r="Z970" s="2"/>
      <c r="AA970" s="2"/>
      <c r="AB970" s="2"/>
      <c r="AC970" s="3"/>
      <c r="AD970" s="2"/>
      <c r="AE970" s="2"/>
      <c r="AF970" s="2"/>
      <c r="AG970" s="2"/>
      <c r="AH970" s="2" t="s">
        <v>2436</v>
      </c>
      <c r="AI970" s="2" t="s">
        <v>2435</v>
      </c>
      <c r="AJ970" s="2"/>
      <c r="AK970" s="2"/>
      <c r="AL970" s="2" t="s">
        <v>3247</v>
      </c>
      <c r="AM970" s="2" t="s">
        <v>2921</v>
      </c>
      <c r="AN970" s="2"/>
      <c r="AO970" s="2" t="s">
        <v>2587</v>
      </c>
      <c r="AP970" s="2" t="s">
        <v>2796</v>
      </c>
      <c r="AQ970" s="2"/>
      <c r="AR970" s="2"/>
      <c r="AS970" s="2"/>
      <c r="AT970" s="2" t="s">
        <v>4015</v>
      </c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</row>
    <row r="971" spans="3:58" ht="17.25" customHeight="1">
      <c r="C971" s="1">
        <v>43938</v>
      </c>
      <c r="E971" s="2" t="s">
        <v>2024</v>
      </c>
      <c r="F971" s="2"/>
      <c r="G971" s="2" t="s">
        <v>2425</v>
      </c>
      <c r="H971" s="2" t="s">
        <v>2426</v>
      </c>
      <c r="I971" s="2"/>
      <c r="J971" s="2">
        <v>1</v>
      </c>
      <c r="K971" s="2"/>
      <c r="L971" s="3">
        <v>53.85</v>
      </c>
      <c r="M971" s="3">
        <v>5.38</v>
      </c>
      <c r="N971" s="3">
        <v>2.84</v>
      </c>
      <c r="O971" s="3"/>
      <c r="P971" s="3">
        <v>3.77</v>
      </c>
      <c r="Q971" s="6">
        <f t="shared" si="2110"/>
        <v>49.4</v>
      </c>
      <c r="R971" s="3"/>
      <c r="S971" s="3">
        <v>36.99</v>
      </c>
      <c r="T971" s="3">
        <v>2.59</v>
      </c>
      <c r="U971" s="3"/>
      <c r="V971" s="3"/>
      <c r="W971" s="3">
        <v>0</v>
      </c>
      <c r="X971" s="2">
        <f t="shared" ref="X971" si="2133">+S971+T971++U971+V971-W971</f>
        <v>39.58</v>
      </c>
      <c r="Y971" s="6">
        <f t="shared" ref="Y971" si="2134">+Q971-X971</f>
        <v>9.82</v>
      </c>
      <c r="Z971" s="6">
        <f>+Y971</f>
        <v>9.82</v>
      </c>
      <c r="AA971" s="2"/>
      <c r="AB971" s="2"/>
      <c r="AC971" s="3"/>
      <c r="AD971" s="2"/>
      <c r="AE971" s="2"/>
      <c r="AF971" s="2"/>
      <c r="AG971" s="2"/>
      <c r="AH971" s="2" t="s">
        <v>2428</v>
      </c>
      <c r="AI971" s="2" t="s">
        <v>2427</v>
      </c>
      <c r="AJ971" s="2"/>
      <c r="AK971" s="2"/>
      <c r="AL971" s="2"/>
      <c r="AM971" s="2"/>
      <c r="AN971" s="2"/>
      <c r="AO971" s="2" t="s">
        <v>2530</v>
      </c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</row>
    <row r="972" spans="3:58" ht="17.25" customHeight="1">
      <c r="C972" s="1">
        <v>43938</v>
      </c>
      <c r="E972" s="2" t="s">
        <v>2024</v>
      </c>
      <c r="F972" s="2"/>
      <c r="G972" s="2" t="s">
        <v>2420</v>
      </c>
      <c r="H972" s="2" t="s">
        <v>2421</v>
      </c>
      <c r="I972" s="2"/>
      <c r="J972" s="2">
        <v>1</v>
      </c>
      <c r="K972" s="2"/>
      <c r="L972" s="3">
        <v>53.55</v>
      </c>
      <c r="M972" s="3">
        <v>5.35</v>
      </c>
      <c r="N972" s="3">
        <v>2.82</v>
      </c>
      <c r="O972" s="3"/>
      <c r="P972" s="3"/>
      <c r="Q972" s="6">
        <f t="shared" si="2110"/>
        <v>45.379999999999995</v>
      </c>
      <c r="R972" s="3"/>
      <c r="S972" s="3">
        <v>36.99</v>
      </c>
      <c r="T972" s="3">
        <v>2.59</v>
      </c>
      <c r="U972" s="3"/>
      <c r="V972" s="3"/>
      <c r="W972" s="3"/>
      <c r="X972" s="2">
        <f t="shared" ref="X972" si="2135">+S972+T972++U972+V972-W972</f>
        <v>39.58</v>
      </c>
      <c r="Y972" s="6">
        <f t="shared" ref="Y972" si="2136">+Q972-X972</f>
        <v>5.7999999999999972</v>
      </c>
      <c r="Z972" s="6">
        <f>+Y972</f>
        <v>5.7999999999999972</v>
      </c>
      <c r="AA972" s="2"/>
      <c r="AB972" s="2"/>
      <c r="AC972" s="3"/>
      <c r="AD972" s="2"/>
      <c r="AE972" s="2"/>
      <c r="AF972" s="2"/>
      <c r="AG972" s="2"/>
      <c r="AH972" s="2" t="s">
        <v>2423</v>
      </c>
      <c r="AI972" s="2" t="s">
        <v>2422</v>
      </c>
      <c r="AJ972" s="2"/>
      <c r="AK972" s="2"/>
      <c r="AL972" s="2"/>
      <c r="AM972" s="2"/>
      <c r="AN972" s="2"/>
      <c r="AO972" s="2" t="s">
        <v>2529</v>
      </c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</row>
    <row r="973" spans="3:58" ht="17.25" customHeight="1">
      <c r="C973" s="1">
        <v>43938</v>
      </c>
      <c r="E973" s="2" t="s">
        <v>2024</v>
      </c>
      <c r="F973" s="2"/>
      <c r="G973" s="2" t="s">
        <v>2413</v>
      </c>
      <c r="H973" s="2" t="s">
        <v>2485</v>
      </c>
      <c r="I973" s="2"/>
      <c r="J973" s="2">
        <v>1</v>
      </c>
      <c r="K973" s="2"/>
      <c r="L973" s="3">
        <v>52.85</v>
      </c>
      <c r="M973" s="3">
        <v>5.28</v>
      </c>
      <c r="N973" s="3">
        <v>2.63</v>
      </c>
      <c r="O973" s="3"/>
      <c r="P973" s="3"/>
      <c r="Q973" s="6">
        <f t="shared" si="2110"/>
        <v>44.94</v>
      </c>
      <c r="R973" s="3"/>
      <c r="S973" s="3">
        <v>36.99</v>
      </c>
      <c r="T973" s="3">
        <v>4.25</v>
      </c>
      <c r="U973" s="3"/>
      <c r="V973" s="3"/>
      <c r="W973" s="3"/>
      <c r="X973" s="2">
        <f t="shared" ref="X973" si="2137">+S973+T973++U973+V973-W973</f>
        <v>41.24</v>
      </c>
      <c r="Y973" s="6">
        <f t="shared" ref="Y973" si="2138">+Q973-X973</f>
        <v>3.6999999999999957</v>
      </c>
      <c r="Z973" s="6">
        <f>+Y973</f>
        <v>3.6999999999999957</v>
      </c>
      <c r="AA973" s="2"/>
      <c r="AB973" s="2"/>
      <c r="AC973" s="3"/>
      <c r="AD973" s="2"/>
      <c r="AE973" s="2"/>
      <c r="AF973" s="2"/>
      <c r="AG973" s="2"/>
      <c r="AH973" s="2" t="s">
        <v>2415</v>
      </c>
      <c r="AI973" s="2" t="s">
        <v>2414</v>
      </c>
      <c r="AJ973" s="2"/>
      <c r="AK973" s="2"/>
      <c r="AL973" s="2" t="s">
        <v>3247</v>
      </c>
      <c r="AM973" s="2" t="s">
        <v>2957</v>
      </c>
      <c r="AN973" s="2"/>
      <c r="AO973" s="2" t="s">
        <v>2517</v>
      </c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</row>
    <row r="974" spans="3:58" ht="17.25" customHeight="1">
      <c r="C974" s="1">
        <v>43938</v>
      </c>
      <c r="E974" s="2" t="s">
        <v>2024</v>
      </c>
      <c r="F974" s="2"/>
      <c r="G974" s="2" t="s">
        <v>2416</v>
      </c>
      <c r="H974" s="2" t="s">
        <v>2417</v>
      </c>
      <c r="I974" s="2"/>
      <c r="J974" s="2">
        <v>1</v>
      </c>
      <c r="K974" s="2"/>
      <c r="L974" s="3">
        <v>52.85</v>
      </c>
      <c r="M974" s="3">
        <v>5.28</v>
      </c>
      <c r="N974" s="3">
        <v>2.81</v>
      </c>
      <c r="O974" s="3">
        <f>4.23</f>
        <v>4.2300000000000004</v>
      </c>
      <c r="P974" s="3">
        <f>4.23-4.23</f>
        <v>0</v>
      </c>
      <c r="Q974" s="6">
        <f t="shared" si="2110"/>
        <v>44.76</v>
      </c>
      <c r="R974" s="3"/>
      <c r="S974" s="3">
        <v>36.99</v>
      </c>
      <c r="T974" s="3">
        <v>2.96</v>
      </c>
      <c r="U974" s="3"/>
      <c r="V974" s="3"/>
      <c r="W974" s="3"/>
      <c r="X974" s="2">
        <f t="shared" ref="X974" si="2139">+S974+T974++U974+V974-W974</f>
        <v>39.950000000000003</v>
      </c>
      <c r="Y974" s="6">
        <f t="shared" ref="Y974" si="2140">+Q974-X974</f>
        <v>4.8099999999999952</v>
      </c>
      <c r="Z974" s="6">
        <f>+Y974</f>
        <v>4.8099999999999952</v>
      </c>
      <c r="AA974" s="2"/>
      <c r="AB974" s="2"/>
      <c r="AC974" s="3"/>
      <c r="AD974" s="2"/>
      <c r="AE974" s="2"/>
      <c r="AF974" s="2"/>
      <c r="AG974" s="2"/>
      <c r="AH974" s="2" t="s">
        <v>2419</v>
      </c>
      <c r="AI974" s="2" t="s">
        <v>2418</v>
      </c>
      <c r="AJ974" s="2"/>
      <c r="AK974" s="2"/>
      <c r="AL974" s="2"/>
      <c r="AM974" s="2"/>
      <c r="AN974" s="2"/>
      <c r="AO974" s="2" t="s">
        <v>2515</v>
      </c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</row>
    <row r="975" spans="3:58" ht="17.25" customHeight="1">
      <c r="C975" s="1">
        <v>43938</v>
      </c>
      <c r="E975" s="2" t="s">
        <v>2024</v>
      </c>
      <c r="F975" s="2"/>
      <c r="G975" s="2" t="s">
        <v>2413</v>
      </c>
      <c r="H975" s="2" t="s">
        <v>2485</v>
      </c>
      <c r="I975" s="2"/>
      <c r="J975" s="2">
        <v>1</v>
      </c>
      <c r="K975" s="2"/>
      <c r="L975" s="3">
        <v>52.85</v>
      </c>
      <c r="M975" s="3">
        <v>5.28</v>
      </c>
      <c r="N975" s="3">
        <v>2.63</v>
      </c>
      <c r="O975" s="3"/>
      <c r="P975" s="3"/>
      <c r="Q975" s="6">
        <f t="shared" ref="Q975:Q980" si="2141">+L975-M975-N975+P975</f>
        <v>44.94</v>
      </c>
      <c r="R975" s="3"/>
      <c r="S975" s="3">
        <v>36.99</v>
      </c>
      <c r="T975" s="3">
        <v>4.25</v>
      </c>
      <c r="U975" s="3"/>
      <c r="V975" s="3"/>
      <c r="W975" s="3"/>
      <c r="X975" s="2">
        <f t="shared" ref="X975" si="2142">+S975+T975++U975+V975-W975</f>
        <v>41.24</v>
      </c>
      <c r="Y975" s="6">
        <f t="shared" ref="Y975" si="2143">+Q975-X975</f>
        <v>3.6999999999999957</v>
      </c>
      <c r="Z975" s="6">
        <f>+Y975</f>
        <v>3.6999999999999957</v>
      </c>
      <c r="AA975" s="2"/>
      <c r="AB975" s="2"/>
      <c r="AC975" s="3"/>
      <c r="AD975" s="2"/>
      <c r="AE975" s="2"/>
      <c r="AF975" s="2"/>
      <c r="AG975" s="2"/>
      <c r="AH975" s="2" t="s">
        <v>2415</v>
      </c>
      <c r="AI975" s="2" t="s">
        <v>2414</v>
      </c>
      <c r="AJ975" s="2"/>
      <c r="AK975" s="2"/>
      <c r="AL975" s="2" t="s">
        <v>3248</v>
      </c>
      <c r="AM975" s="2" t="s">
        <v>2958</v>
      </c>
      <c r="AN975" s="2"/>
      <c r="AO975" s="2" t="s">
        <v>2487</v>
      </c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</row>
    <row r="976" spans="3:58" ht="17.25" customHeight="1">
      <c r="C976" s="1">
        <v>43937</v>
      </c>
      <c r="E976" s="2" t="s">
        <v>2289</v>
      </c>
      <c r="F976" s="2"/>
      <c r="G976" s="2" t="s">
        <v>2411</v>
      </c>
      <c r="H976" s="2" t="s">
        <v>2412</v>
      </c>
      <c r="I976" s="2"/>
      <c r="J976" s="2">
        <v>1</v>
      </c>
      <c r="K976" s="2"/>
      <c r="L976" s="3">
        <v>28.95</v>
      </c>
      <c r="M976" s="3">
        <v>2.89</v>
      </c>
      <c r="N976" s="3">
        <v>1.67</v>
      </c>
      <c r="O976" s="3">
        <f>2.24</f>
        <v>2.2400000000000002</v>
      </c>
      <c r="P976" s="3">
        <f>2.24-2.24</f>
        <v>0</v>
      </c>
      <c r="Q976" s="6">
        <f t="shared" si="2141"/>
        <v>24.39</v>
      </c>
      <c r="R976" s="3"/>
      <c r="S976" s="3">
        <v>19.98</v>
      </c>
      <c r="T976" s="3">
        <v>1.54</v>
      </c>
      <c r="U976" s="3"/>
      <c r="V976" s="3"/>
      <c r="W976" s="3"/>
      <c r="X976" s="2">
        <f t="shared" ref="X976" si="2144">+S976+T976++U976+V976-W976</f>
        <v>21.52</v>
      </c>
      <c r="Y976" s="6">
        <f t="shared" ref="Y976" si="2145">+Q976-X976</f>
        <v>2.870000000000001</v>
      </c>
      <c r="Z976" s="2"/>
      <c r="AA976" s="2"/>
      <c r="AB976" s="2"/>
      <c r="AC976" s="3"/>
      <c r="AD976" s="2"/>
      <c r="AE976" s="2"/>
      <c r="AF976" s="2"/>
      <c r="AG976" s="2"/>
      <c r="AH976" s="2" t="s">
        <v>2410</v>
      </c>
      <c r="AI976" s="2" t="s">
        <v>2409</v>
      </c>
      <c r="AJ976" s="2"/>
      <c r="AK976" s="2"/>
      <c r="AL976" s="2"/>
      <c r="AM976" s="2"/>
      <c r="AN976" s="2"/>
      <c r="AO976" s="2" t="s">
        <v>2794</v>
      </c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</row>
    <row r="977" spans="3:58" ht="17.25" customHeight="1">
      <c r="C977" s="1">
        <v>43937</v>
      </c>
      <c r="E977" s="2" t="s">
        <v>2289</v>
      </c>
      <c r="F977" s="2"/>
      <c r="G977" s="2" t="s">
        <v>2403</v>
      </c>
      <c r="H977" s="2" t="s">
        <v>2404</v>
      </c>
      <c r="I977" s="2"/>
      <c r="J977" s="2">
        <v>1</v>
      </c>
      <c r="K977" s="2"/>
      <c r="L977" s="3">
        <v>28.75</v>
      </c>
      <c r="M977" s="3">
        <v>2.87</v>
      </c>
      <c r="N977" s="3">
        <v>1.67</v>
      </c>
      <c r="O977" s="3">
        <f>2.73</f>
        <v>2.73</v>
      </c>
      <c r="P977" s="3">
        <f>2.73-2.73</f>
        <v>0</v>
      </c>
      <c r="Q977" s="6">
        <f t="shared" si="2141"/>
        <v>24.21</v>
      </c>
      <c r="R977" s="3"/>
      <c r="S977" s="3">
        <v>19.98</v>
      </c>
      <c r="T977" s="3">
        <v>1.88</v>
      </c>
      <c r="U977" s="3"/>
      <c r="V977" s="3"/>
      <c r="W977" s="3"/>
      <c r="X977" s="2">
        <f t="shared" ref="X977" si="2146">+S977+T977++U977+V977-W977</f>
        <v>21.86</v>
      </c>
      <c r="Y977" s="6">
        <f t="shared" ref="Y977" si="2147">+Q977-X977</f>
        <v>2.3500000000000014</v>
      </c>
      <c r="Z977" s="2"/>
      <c r="AA977" s="2"/>
      <c r="AB977" s="2"/>
      <c r="AC977" s="3"/>
      <c r="AD977" s="2"/>
      <c r="AE977" s="2"/>
      <c r="AF977" s="2"/>
      <c r="AG977" s="2"/>
      <c r="AH977" s="2" t="s">
        <v>2406</v>
      </c>
      <c r="AI977" s="2" t="s">
        <v>2405</v>
      </c>
      <c r="AJ977" s="2"/>
      <c r="AK977" s="2"/>
      <c r="AL977" s="2"/>
      <c r="AM977" s="2"/>
      <c r="AN977" s="2"/>
      <c r="AO977" s="2" t="s">
        <v>2795</v>
      </c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</row>
    <row r="978" spans="3:58" ht="17.25" customHeight="1">
      <c r="C978" s="1">
        <v>43937</v>
      </c>
      <c r="E978" s="2" t="s">
        <v>1922</v>
      </c>
      <c r="F978" s="2"/>
      <c r="G978" s="2" t="s">
        <v>2396</v>
      </c>
      <c r="H978" s="2" t="s">
        <v>2397</v>
      </c>
      <c r="I978" s="2"/>
      <c r="J978" s="2">
        <v>1</v>
      </c>
      <c r="K978" s="2"/>
      <c r="L978" s="3">
        <v>22.75</v>
      </c>
      <c r="M978" s="3">
        <v>2.27</v>
      </c>
      <c r="N978" s="3">
        <v>1.38</v>
      </c>
      <c r="O978" s="3">
        <f>1.82</f>
        <v>1.82</v>
      </c>
      <c r="P978" s="3">
        <f>1.82-1.82</f>
        <v>0</v>
      </c>
      <c r="Q978" s="6">
        <f t="shared" si="2141"/>
        <v>19.100000000000001</v>
      </c>
      <c r="R978" s="3"/>
      <c r="S978" s="3">
        <v>14.49</v>
      </c>
      <c r="T978" s="3">
        <v>1.1599999999999999</v>
      </c>
      <c r="U978" s="3"/>
      <c r="V978" s="3"/>
      <c r="W978" s="3"/>
      <c r="X978" s="2">
        <f t="shared" ref="X978" si="2148">+S978+T978++U978+V978-W978</f>
        <v>15.65</v>
      </c>
      <c r="Y978" s="6">
        <f t="shared" ref="Y978" si="2149">+Q978-X978</f>
        <v>3.4500000000000011</v>
      </c>
      <c r="Z978" s="2"/>
      <c r="AA978" s="2"/>
      <c r="AB978" s="2"/>
      <c r="AC978" s="3"/>
      <c r="AD978" s="2"/>
      <c r="AE978" s="2"/>
      <c r="AF978" s="2"/>
      <c r="AG978" s="2"/>
      <c r="AH978" s="2" t="s">
        <v>2408</v>
      </c>
      <c r="AI978" s="2" t="s">
        <v>2407</v>
      </c>
      <c r="AJ978" s="2"/>
      <c r="AK978" s="2"/>
      <c r="AL978" s="2"/>
      <c r="AM978" s="2"/>
      <c r="AN978" s="2"/>
      <c r="AO978" s="2" t="s">
        <v>2598</v>
      </c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</row>
    <row r="979" spans="3:58" ht="17.25" customHeight="1">
      <c r="C979" s="1">
        <v>43937</v>
      </c>
      <c r="E979" s="2" t="s">
        <v>2024</v>
      </c>
      <c r="F979" s="2"/>
      <c r="G979" s="2" t="s">
        <v>2383</v>
      </c>
      <c r="H979" s="2" t="s">
        <v>2486</v>
      </c>
      <c r="I979" s="2"/>
      <c r="J979" s="2">
        <v>1</v>
      </c>
      <c r="K979" s="2"/>
      <c r="L979" s="3">
        <v>52.75</v>
      </c>
      <c r="M979" s="3">
        <v>5.27</v>
      </c>
      <c r="N979" s="3">
        <v>2.62</v>
      </c>
      <c r="O979" s="3"/>
      <c r="P979" s="3"/>
      <c r="Q979" s="6">
        <f t="shared" si="2141"/>
        <v>44.860000000000007</v>
      </c>
      <c r="R979" s="3"/>
      <c r="S979" s="3">
        <v>34.020000000000003</v>
      </c>
      <c r="T979" s="3">
        <v>3.4</v>
      </c>
      <c r="U979" s="3"/>
      <c r="V979" s="3"/>
      <c r="W979" s="3"/>
      <c r="X979" s="2">
        <f t="shared" ref="X979:X980" si="2150">+S979+T979++U979+V979-W979</f>
        <v>37.42</v>
      </c>
      <c r="Y979" s="6">
        <f t="shared" ref="Y979:Y980" si="2151">+Q979-X979</f>
        <v>7.4400000000000048</v>
      </c>
      <c r="Z979" s="6">
        <f>+Y979</f>
        <v>7.4400000000000048</v>
      </c>
      <c r="AA979" s="2"/>
      <c r="AB979" s="2"/>
      <c r="AC979" s="3"/>
      <c r="AD979" s="2"/>
      <c r="AE979" s="2"/>
      <c r="AF979" s="2"/>
      <c r="AG979" s="2"/>
      <c r="AH979" s="2" t="s">
        <v>2385</v>
      </c>
      <c r="AI979" s="2" t="s">
        <v>2384</v>
      </c>
      <c r="AJ979" s="2"/>
      <c r="AK979" s="2"/>
      <c r="AL979" s="2"/>
      <c r="AM979" s="2"/>
      <c r="AN979" s="2"/>
      <c r="AO979" s="2" t="s">
        <v>2516</v>
      </c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</row>
    <row r="980" spans="3:58" ht="17.25" customHeight="1">
      <c r="C980" s="1">
        <v>43937</v>
      </c>
      <c r="E980" s="2" t="s">
        <v>2186</v>
      </c>
      <c r="F980" s="2"/>
      <c r="G980" s="2" t="s">
        <v>2387</v>
      </c>
      <c r="H980" s="2" t="s">
        <v>2388</v>
      </c>
      <c r="I980" s="2"/>
      <c r="J980" s="2">
        <v>1</v>
      </c>
      <c r="K980" s="2"/>
      <c r="L980" s="3">
        <v>83.5</v>
      </c>
      <c r="M980" s="3">
        <v>8.35</v>
      </c>
      <c r="N980" s="3">
        <v>4.3</v>
      </c>
      <c r="O980" s="3"/>
      <c r="P980" s="3"/>
      <c r="Q980" s="6">
        <f t="shared" si="2141"/>
        <v>70.850000000000009</v>
      </c>
      <c r="R980" s="3"/>
      <c r="S980" s="3">
        <v>65.19</v>
      </c>
      <c r="T980" s="3">
        <v>5.78</v>
      </c>
      <c r="U980" s="3"/>
      <c r="V980" s="3"/>
      <c r="W980" s="3">
        <v>7.09</v>
      </c>
      <c r="X980" s="2">
        <f t="shared" si="2150"/>
        <v>63.879999999999995</v>
      </c>
      <c r="Y980" s="6">
        <f t="shared" si="2151"/>
        <v>6.9700000000000131</v>
      </c>
      <c r="Z980" s="2"/>
      <c r="AA980" s="6">
        <f>+Y980</f>
        <v>6.9700000000000131</v>
      </c>
      <c r="AB980" s="2"/>
      <c r="AC980" s="3"/>
      <c r="AD980" s="2"/>
      <c r="AE980" s="2"/>
      <c r="AF980" s="2"/>
      <c r="AG980" s="2"/>
      <c r="AH980" s="2" t="s">
        <v>2390</v>
      </c>
      <c r="AI980" s="2" t="s">
        <v>2389</v>
      </c>
      <c r="AJ980" s="2"/>
      <c r="AK980" s="2"/>
      <c r="AL980" s="2"/>
      <c r="AM980" s="2"/>
      <c r="AN980" s="2"/>
      <c r="AO980" s="16" t="s">
        <v>2463</v>
      </c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</row>
    <row r="981" spans="3:58" ht="17.25" customHeight="1">
      <c r="C981" s="1">
        <v>43937</v>
      </c>
      <c r="E981" s="2" t="s">
        <v>2386</v>
      </c>
      <c r="F981" s="2"/>
      <c r="G981" s="2" t="s">
        <v>2387</v>
      </c>
      <c r="H981" s="2" t="s">
        <v>2388</v>
      </c>
      <c r="I981" s="2"/>
      <c r="J981" s="2">
        <v>1</v>
      </c>
      <c r="K981" s="2"/>
      <c r="L981" s="3">
        <v>83.5</v>
      </c>
      <c r="M981" s="3">
        <v>8.35</v>
      </c>
      <c r="N981" s="3">
        <v>4.3</v>
      </c>
      <c r="O981" s="3"/>
      <c r="P981" s="3"/>
      <c r="Q981" s="6">
        <f t="shared" ref="Q981:Q987" si="2152">+L981-M981-N981+P981</f>
        <v>70.850000000000009</v>
      </c>
      <c r="R981" s="3"/>
      <c r="S981" s="3">
        <v>65.19</v>
      </c>
      <c r="T981" s="3">
        <v>5.78</v>
      </c>
      <c r="U981" s="3"/>
      <c r="V981" s="3"/>
      <c r="W981" s="3">
        <v>6.96</v>
      </c>
      <c r="X981" s="2">
        <f t="shared" ref="X981:X982" si="2153">+S981+T981++U981+V981-W981</f>
        <v>64.010000000000005</v>
      </c>
      <c r="Y981" s="6">
        <f t="shared" ref="Y981:Y982" si="2154">+Q981-X981</f>
        <v>6.8400000000000034</v>
      </c>
      <c r="Z981" s="2"/>
      <c r="AA981" s="6">
        <f>+Y981</f>
        <v>6.8400000000000034</v>
      </c>
      <c r="AB981" s="2"/>
      <c r="AC981" s="3"/>
      <c r="AD981" s="2"/>
      <c r="AE981" s="2"/>
      <c r="AF981" s="2"/>
      <c r="AG981" s="2"/>
      <c r="AH981" s="2" t="s">
        <v>2390</v>
      </c>
      <c r="AI981" s="2" t="s">
        <v>2389</v>
      </c>
      <c r="AJ981" s="2"/>
      <c r="AK981" s="2"/>
      <c r="AL981" s="2"/>
      <c r="AM981" s="2"/>
      <c r="AN981" s="2"/>
      <c r="AO981" s="2" t="s">
        <v>2533</v>
      </c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</row>
    <row r="982" spans="3:58" ht="17.25" customHeight="1">
      <c r="C982" s="1">
        <v>43937</v>
      </c>
      <c r="E982" s="2" t="s">
        <v>2391</v>
      </c>
      <c r="F982" s="2"/>
      <c r="G982" s="2" t="s">
        <v>2392</v>
      </c>
      <c r="H982" s="2" t="s">
        <v>2393</v>
      </c>
      <c r="I982" s="2"/>
      <c r="J982" s="2">
        <v>1</v>
      </c>
      <c r="K982" s="2"/>
      <c r="L982" s="3">
        <v>18.2</v>
      </c>
      <c r="M982" s="3">
        <v>1.82</v>
      </c>
      <c r="N982" s="3">
        <v>1.1499999999999999</v>
      </c>
      <c r="O982" s="3">
        <f>1.23</f>
        <v>1.23</v>
      </c>
      <c r="P982" s="3">
        <f>1.23-1.23</f>
        <v>0</v>
      </c>
      <c r="Q982" s="6">
        <f t="shared" si="2152"/>
        <v>15.229999999999999</v>
      </c>
      <c r="R982" s="3"/>
      <c r="S982" s="3">
        <v>12.33</v>
      </c>
      <c r="T982" s="3">
        <v>0.83</v>
      </c>
      <c r="U982" s="3"/>
      <c r="V982" s="3"/>
      <c r="W982" s="3">
        <v>1.23</v>
      </c>
      <c r="X982" s="2">
        <f t="shared" si="2153"/>
        <v>11.93</v>
      </c>
      <c r="Y982" s="6">
        <f t="shared" si="2154"/>
        <v>3.2999999999999989</v>
      </c>
      <c r="Z982" s="2"/>
      <c r="AA982" s="2"/>
      <c r="AB982" s="2"/>
      <c r="AC982" s="3"/>
      <c r="AD982" s="2"/>
      <c r="AE982" s="2"/>
      <c r="AF982" s="2"/>
      <c r="AG982" s="2"/>
      <c r="AH982" s="2" t="s">
        <v>2395</v>
      </c>
      <c r="AI982" s="2" t="s">
        <v>2394</v>
      </c>
      <c r="AJ982" s="2"/>
      <c r="AK982" s="2"/>
      <c r="AL982" s="2"/>
      <c r="AM982" s="2"/>
      <c r="AN982" s="2"/>
      <c r="AO982" s="16" t="s">
        <v>2431</v>
      </c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</row>
    <row r="983" spans="3:58" ht="17.25" customHeight="1">
      <c r="C983" s="1">
        <v>43937</v>
      </c>
      <c r="E983" s="2" t="s">
        <v>2024</v>
      </c>
      <c r="F983" s="2"/>
      <c r="G983" s="2" t="s">
        <v>2380</v>
      </c>
      <c r="H983" s="2" t="s">
        <v>2612</v>
      </c>
      <c r="I983" s="2"/>
      <c r="J983" s="2">
        <v>1</v>
      </c>
      <c r="K983" s="2"/>
      <c r="L983" s="3">
        <v>52.75</v>
      </c>
      <c r="M983" s="3">
        <v>5.27</v>
      </c>
      <c r="N983" s="3">
        <v>2.62</v>
      </c>
      <c r="O983" s="3"/>
      <c r="P983" s="3"/>
      <c r="Q983" s="6">
        <f t="shared" si="2152"/>
        <v>44.860000000000007</v>
      </c>
      <c r="R983" s="3"/>
      <c r="S983" s="3">
        <v>34.020000000000003</v>
      </c>
      <c r="T983" s="3">
        <v>3.4</v>
      </c>
      <c r="U983" s="3"/>
      <c r="V983" s="3"/>
      <c r="W983" s="3"/>
      <c r="X983" s="2">
        <f t="shared" ref="X983" si="2155">+S983+T983++U983+V983-W983</f>
        <v>37.42</v>
      </c>
      <c r="Y983" s="6">
        <f t="shared" ref="Y983" si="2156">+Q983-X983</f>
        <v>7.4400000000000048</v>
      </c>
      <c r="Z983" s="6">
        <f>+Y983</f>
        <v>7.4400000000000048</v>
      </c>
      <c r="AA983" s="2"/>
      <c r="AB983" s="2"/>
      <c r="AC983" s="3"/>
      <c r="AD983" s="2"/>
      <c r="AE983" s="2"/>
      <c r="AF983" s="2"/>
      <c r="AG983" s="2"/>
      <c r="AH983" s="2" t="s">
        <v>2382</v>
      </c>
      <c r="AI983" s="2" t="s">
        <v>2381</v>
      </c>
      <c r="AJ983" s="2"/>
      <c r="AK983" s="2"/>
      <c r="AL983" s="2" t="s">
        <v>3247</v>
      </c>
      <c r="AM983" s="2" t="s">
        <v>2959</v>
      </c>
      <c r="AN983" s="2"/>
      <c r="AO983" s="2" t="s">
        <v>2484</v>
      </c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</row>
    <row r="984" spans="3:58" ht="17.25" customHeight="1">
      <c r="C984" s="1">
        <v>43937</v>
      </c>
      <c r="E984" s="2" t="s">
        <v>2375</v>
      </c>
      <c r="F984" s="2"/>
      <c r="G984" s="2" t="s">
        <v>2376</v>
      </c>
      <c r="H984" s="2" t="s">
        <v>2377</v>
      </c>
      <c r="I984" s="2"/>
      <c r="J984" s="2">
        <v>1</v>
      </c>
      <c r="K984" s="2"/>
      <c r="L984" s="3">
        <v>83.5</v>
      </c>
      <c r="M984" s="3">
        <v>8.35</v>
      </c>
      <c r="N984" s="3">
        <v>4.12</v>
      </c>
      <c r="O984" s="3">
        <f>3.34</f>
        <v>3.34</v>
      </c>
      <c r="P984" s="3">
        <f>3.34-3.34</f>
        <v>0</v>
      </c>
      <c r="Q984" s="6">
        <f t="shared" si="2152"/>
        <v>71.03</v>
      </c>
      <c r="R984" s="3"/>
      <c r="S984" s="3">
        <v>65.19</v>
      </c>
      <c r="T984" s="3">
        <v>3.1</v>
      </c>
      <c r="U984" s="3"/>
      <c r="V984" s="3"/>
      <c r="W984" s="3">
        <v>6.82</v>
      </c>
      <c r="X984" s="2">
        <f t="shared" ref="X984" si="2157">+S984+T984++U984+V984-W984</f>
        <v>61.469999999999992</v>
      </c>
      <c r="Y984" s="6">
        <f t="shared" ref="Y984" si="2158">+Q984-X984</f>
        <v>9.5600000000000094</v>
      </c>
      <c r="Z984" s="2"/>
      <c r="AA984" s="6">
        <f>+Y984</f>
        <v>9.5600000000000094</v>
      </c>
      <c r="AB984" s="2"/>
      <c r="AC984" s="3"/>
      <c r="AD984" s="2"/>
      <c r="AE984" s="2"/>
      <c r="AF984" s="2"/>
      <c r="AG984" s="2"/>
      <c r="AH984" s="2" t="s">
        <v>2379</v>
      </c>
      <c r="AI984" s="2" t="s">
        <v>2378</v>
      </c>
      <c r="AJ984" s="2"/>
      <c r="AK984" s="2"/>
      <c r="AL984" s="2"/>
      <c r="AM984" s="2"/>
      <c r="AN984" s="2"/>
      <c r="AO984" s="2" t="s">
        <v>2603</v>
      </c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</row>
    <row r="985" spans="3:58" ht="17.25" customHeight="1">
      <c r="C985" s="1">
        <v>43937</v>
      </c>
      <c r="E985" s="2" t="s">
        <v>2024</v>
      </c>
      <c r="F985" s="2"/>
      <c r="G985" s="2" t="s">
        <v>2369</v>
      </c>
      <c r="H985" s="2" t="s">
        <v>2370</v>
      </c>
      <c r="I985" s="2"/>
      <c r="J985" s="2">
        <v>1</v>
      </c>
      <c r="K985" s="2"/>
      <c r="L985" s="3">
        <v>52.75</v>
      </c>
      <c r="M985" s="3">
        <v>5.27</v>
      </c>
      <c r="N985" s="3">
        <v>2.79</v>
      </c>
      <c r="O985" s="3">
        <f>3.82</f>
        <v>3.82</v>
      </c>
      <c r="P985" s="3">
        <f>3.82-3.82</f>
        <v>0</v>
      </c>
      <c r="Q985" s="6">
        <f t="shared" si="2152"/>
        <v>44.690000000000005</v>
      </c>
      <c r="R985" s="3"/>
      <c r="S985" s="3">
        <v>34.020000000000003</v>
      </c>
      <c r="T985" s="3">
        <v>2.46</v>
      </c>
      <c r="U985" s="3"/>
      <c r="V985" s="3"/>
      <c r="W985" s="3"/>
      <c r="X985" s="2">
        <f t="shared" ref="X985" si="2159">+S985+T985++U985+V985-W985</f>
        <v>36.480000000000004</v>
      </c>
      <c r="Y985" s="6">
        <f t="shared" ref="Y985" si="2160">+Q985-X985</f>
        <v>8.2100000000000009</v>
      </c>
      <c r="Z985" s="6">
        <f>+Y985</f>
        <v>8.2100000000000009</v>
      </c>
      <c r="AA985" s="2"/>
      <c r="AB985" s="2"/>
      <c r="AC985" s="3"/>
      <c r="AD985" s="2"/>
      <c r="AE985" s="2"/>
      <c r="AF985" s="2"/>
      <c r="AG985" s="2"/>
      <c r="AH985" s="2" t="s">
        <v>2372</v>
      </c>
      <c r="AI985" s="2" t="s">
        <v>2371</v>
      </c>
      <c r="AJ985" s="2"/>
      <c r="AK985" s="2"/>
      <c r="AL985" s="2"/>
      <c r="AM985" s="2"/>
      <c r="AN985" s="2"/>
      <c r="AO985" s="16" t="s">
        <v>2483</v>
      </c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</row>
    <row r="986" spans="3:58" ht="17.25" customHeight="1">
      <c r="C986" s="1">
        <v>43937</v>
      </c>
      <c r="E986" s="2" t="s">
        <v>2085</v>
      </c>
      <c r="F986" s="2"/>
      <c r="G986" s="2" t="s">
        <v>2361</v>
      </c>
      <c r="H986" s="2" t="s">
        <v>2362</v>
      </c>
      <c r="I986" s="2"/>
      <c r="J986" s="2">
        <v>1</v>
      </c>
      <c r="K986" s="2"/>
      <c r="L986" s="3">
        <v>27.95</v>
      </c>
      <c r="M986" s="3">
        <v>2.79</v>
      </c>
      <c r="N986" s="3">
        <v>1.59</v>
      </c>
      <c r="O986" s="3">
        <f>1.26</f>
        <v>1.26</v>
      </c>
      <c r="P986" s="3">
        <f>1.26-1.26</f>
        <v>0</v>
      </c>
      <c r="Q986" s="6">
        <f t="shared" si="2152"/>
        <v>23.57</v>
      </c>
      <c r="R986" s="3"/>
      <c r="S986" s="3">
        <v>17.989999999999998</v>
      </c>
      <c r="T986" s="3">
        <v>0.81</v>
      </c>
      <c r="U986" s="3"/>
      <c r="V986" s="3"/>
      <c r="W986" s="3"/>
      <c r="X986" s="2">
        <f t="shared" ref="X986" si="2161">+S986+T986++U986+V986-W986</f>
        <v>18.799999999999997</v>
      </c>
      <c r="Y986" s="6">
        <f t="shared" ref="Y986" si="2162">+Q986-X986</f>
        <v>4.7700000000000031</v>
      </c>
      <c r="Z986" s="2"/>
      <c r="AA986" s="2"/>
      <c r="AB986" s="2"/>
      <c r="AC986" s="3"/>
      <c r="AD986" s="2"/>
      <c r="AE986" s="2"/>
      <c r="AF986" s="2"/>
      <c r="AG986" s="2"/>
      <c r="AH986" s="2" t="s">
        <v>2363</v>
      </c>
      <c r="AI986" s="2" t="s">
        <v>2364</v>
      </c>
      <c r="AJ986" s="2"/>
      <c r="AK986" s="2"/>
      <c r="AL986" s="2"/>
      <c r="AM986" s="2"/>
      <c r="AN986" s="2"/>
      <c r="AO986" s="16" t="s">
        <v>2429</v>
      </c>
      <c r="AP986" s="2" t="s">
        <v>2401</v>
      </c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</row>
    <row r="987" spans="3:58" ht="17.25" customHeight="1">
      <c r="C987" s="1">
        <v>43936</v>
      </c>
      <c r="E987" s="2" t="s">
        <v>2045</v>
      </c>
      <c r="F987" s="2"/>
      <c r="G987" s="2" t="s">
        <v>2356</v>
      </c>
      <c r="H987" s="2" t="s">
        <v>2357</v>
      </c>
      <c r="I987" s="2"/>
      <c r="J987" s="2">
        <v>1</v>
      </c>
      <c r="K987" s="2"/>
      <c r="L987" s="3">
        <v>68.5</v>
      </c>
      <c r="M987" s="3">
        <v>6.85</v>
      </c>
      <c r="N987" s="3">
        <v>3.62</v>
      </c>
      <c r="O987" s="3"/>
      <c r="P987" s="3">
        <v>6.85</v>
      </c>
      <c r="Q987" s="6">
        <f t="shared" si="2152"/>
        <v>64.88</v>
      </c>
      <c r="R987" s="3"/>
      <c r="S987" s="3">
        <v>47.98</v>
      </c>
      <c r="T987" s="3">
        <v>4.0599999999999996</v>
      </c>
      <c r="U987" s="3"/>
      <c r="V987" s="3"/>
      <c r="W987" s="3"/>
      <c r="X987" s="2">
        <f t="shared" ref="X987" si="2163">+S987+T987++U987+V987-W987</f>
        <v>52.04</v>
      </c>
      <c r="Y987" s="6">
        <f t="shared" ref="Y987" si="2164">+Q987-X987</f>
        <v>12.839999999999996</v>
      </c>
      <c r="Z987" s="2"/>
      <c r="AA987" s="2"/>
      <c r="AB987" s="2"/>
      <c r="AC987" s="3"/>
      <c r="AD987" s="2"/>
      <c r="AE987" s="2"/>
      <c r="AF987" s="2"/>
      <c r="AG987" s="2"/>
      <c r="AH987" s="2" t="s">
        <v>2359</v>
      </c>
      <c r="AI987" s="2" t="s">
        <v>2358</v>
      </c>
      <c r="AJ987" s="2"/>
      <c r="AK987" s="2"/>
      <c r="AL987" s="2"/>
      <c r="AM987" s="2"/>
      <c r="AN987" s="2"/>
      <c r="AO987" s="16" t="s">
        <v>2470</v>
      </c>
      <c r="AP987" s="2" t="s">
        <v>2401</v>
      </c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</row>
    <row r="988" spans="3:58" ht="17.25" customHeight="1">
      <c r="C988" s="1">
        <v>43936</v>
      </c>
      <c r="E988" s="2" t="s">
        <v>2085</v>
      </c>
      <c r="F988" s="2"/>
      <c r="G988" s="2" t="s">
        <v>2352</v>
      </c>
      <c r="H988" s="2" t="s">
        <v>2353</v>
      </c>
      <c r="I988" s="2"/>
      <c r="J988" s="2">
        <v>1</v>
      </c>
      <c r="K988" s="2"/>
      <c r="L988" s="3">
        <v>27.95</v>
      </c>
      <c r="M988" s="3">
        <v>2.79</v>
      </c>
      <c r="N988" s="3">
        <v>1.63</v>
      </c>
      <c r="O988" s="3">
        <f>2.31</f>
        <v>2.31</v>
      </c>
      <c r="P988" s="3">
        <f>2.31-2.31</f>
        <v>0</v>
      </c>
      <c r="Q988" s="6">
        <f t="shared" ref="Q988:Q1085" si="2165">+L988-M988-N988+P988</f>
        <v>23.53</v>
      </c>
      <c r="R988" s="3"/>
      <c r="S988" s="3">
        <v>17.989999999999998</v>
      </c>
      <c r="T988" s="3">
        <v>1.48</v>
      </c>
      <c r="U988" s="3"/>
      <c r="V988" s="3"/>
      <c r="W988" s="3"/>
      <c r="X988" s="2">
        <f t="shared" ref="X988" si="2166">+S988+T988++U988+V988-W988</f>
        <v>19.47</v>
      </c>
      <c r="Y988" s="6">
        <f t="shared" ref="Y988" si="2167">+Q988-X988</f>
        <v>4.0600000000000023</v>
      </c>
      <c r="Z988" s="2"/>
      <c r="AA988" s="2"/>
      <c r="AB988" s="2"/>
      <c r="AC988" s="3"/>
      <c r="AD988" s="2"/>
      <c r="AE988" s="2"/>
      <c r="AF988" s="2"/>
      <c r="AG988" s="2"/>
      <c r="AH988" s="2" t="s">
        <v>2355</v>
      </c>
      <c r="AI988" s="2" t="s">
        <v>2354</v>
      </c>
      <c r="AJ988" s="2"/>
      <c r="AK988" s="2"/>
      <c r="AL988" s="2"/>
      <c r="AM988" s="2"/>
      <c r="AN988" s="2"/>
      <c r="AO988" s="16" t="s">
        <v>2430</v>
      </c>
      <c r="AP988" s="2" t="s">
        <v>2401</v>
      </c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</row>
    <row r="989" spans="3:58" ht="17.25" customHeight="1">
      <c r="C989" s="1">
        <v>43936</v>
      </c>
      <c r="E989" s="2" t="s">
        <v>2289</v>
      </c>
      <c r="F989" s="2"/>
      <c r="G989" s="2" t="s">
        <v>2337</v>
      </c>
      <c r="H989" s="2" t="s">
        <v>2338</v>
      </c>
      <c r="I989" s="2"/>
      <c r="J989" s="2">
        <v>1</v>
      </c>
      <c r="K989" s="2"/>
      <c r="L989" s="3">
        <v>28.75</v>
      </c>
      <c r="M989" s="3">
        <v>2.87</v>
      </c>
      <c r="N989" s="3">
        <v>1.67</v>
      </c>
      <c r="O989" s="3"/>
      <c r="P989" s="3">
        <v>2.4700000000000002</v>
      </c>
      <c r="Q989" s="6">
        <f t="shared" si="2165"/>
        <v>26.68</v>
      </c>
      <c r="R989" s="3"/>
      <c r="S989" s="3">
        <v>19.98</v>
      </c>
      <c r="T989" s="3">
        <v>1.5</v>
      </c>
      <c r="U989" s="3"/>
      <c r="V989" s="3"/>
      <c r="W989" s="3"/>
      <c r="X989" s="2">
        <f t="shared" ref="X989" si="2168">+S989+T989++U989+V989-W989</f>
        <v>21.48</v>
      </c>
      <c r="Y989" s="6">
        <f t="shared" ref="Y989" si="2169">+Q989-X989</f>
        <v>5.1999999999999993</v>
      </c>
      <c r="Z989" s="2"/>
      <c r="AA989" s="2"/>
      <c r="AB989" s="2"/>
      <c r="AC989" s="3"/>
      <c r="AD989" s="2"/>
      <c r="AE989" s="2"/>
      <c r="AF989" s="2"/>
      <c r="AG989" s="2"/>
      <c r="AH989" s="2" t="s">
        <v>2340</v>
      </c>
      <c r="AI989" s="2" t="s">
        <v>2339</v>
      </c>
      <c r="AJ989" s="2"/>
      <c r="AK989" s="2"/>
      <c r="AL989" s="2"/>
      <c r="AM989" s="2"/>
      <c r="AN989" s="2"/>
      <c r="AO989" s="2" t="s">
        <v>2398</v>
      </c>
      <c r="AP989" s="2" t="s">
        <v>2399</v>
      </c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</row>
    <row r="990" spans="3:58" ht="17.25" customHeight="1">
      <c r="C990" s="1">
        <v>43936</v>
      </c>
      <c r="E990" s="2" t="s">
        <v>2289</v>
      </c>
      <c r="F990" s="2"/>
      <c r="G990" s="2" t="s">
        <v>2333</v>
      </c>
      <c r="H990" s="2" t="s">
        <v>2334</v>
      </c>
      <c r="I990" s="2"/>
      <c r="J990" s="2">
        <v>1</v>
      </c>
      <c r="K990" s="2"/>
      <c r="L990" s="3">
        <v>28.75</v>
      </c>
      <c r="M990" s="3">
        <v>2.87</v>
      </c>
      <c r="N990" s="3">
        <v>1.65</v>
      </c>
      <c r="O990" s="3">
        <f>1.9</f>
        <v>1.9</v>
      </c>
      <c r="P990" s="3">
        <f>1.9-1.9</f>
        <v>0</v>
      </c>
      <c r="Q990" s="6">
        <f t="shared" si="2165"/>
        <v>24.23</v>
      </c>
      <c r="R990" s="3"/>
      <c r="S990" s="3">
        <v>19.98</v>
      </c>
      <c r="T990" s="3">
        <v>1.32</v>
      </c>
      <c r="U990" s="3"/>
      <c r="V990" s="3"/>
      <c r="W990" s="3"/>
      <c r="X990" s="2">
        <f t="shared" ref="X990" si="2170">+S990+T990++U990+V990-W990</f>
        <v>21.3</v>
      </c>
      <c r="Y990" s="6">
        <f t="shared" ref="Y990" si="2171">+Q990-X990</f>
        <v>2.9299999999999997</v>
      </c>
      <c r="Z990" s="2"/>
      <c r="AA990" s="2"/>
      <c r="AB990" s="2"/>
      <c r="AC990" s="3"/>
      <c r="AD990" s="2"/>
      <c r="AE990" s="2"/>
      <c r="AF990" s="2"/>
      <c r="AG990" s="2"/>
      <c r="AH990" s="2" t="s">
        <v>2336</v>
      </c>
      <c r="AI990" s="2" t="s">
        <v>2335</v>
      </c>
      <c r="AJ990" s="2"/>
      <c r="AK990" s="2"/>
      <c r="AL990" s="2"/>
      <c r="AM990" s="2"/>
      <c r="AN990" s="2"/>
      <c r="AO990" s="2" t="s">
        <v>2400</v>
      </c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</row>
    <row r="991" spans="3:58" ht="17.25" customHeight="1">
      <c r="C991" s="1">
        <v>43936</v>
      </c>
      <c r="E991" s="2" t="s">
        <v>2085</v>
      </c>
      <c r="F991" s="2"/>
      <c r="G991" s="2" t="s">
        <v>2329</v>
      </c>
      <c r="H991" s="2" t="s">
        <v>2330</v>
      </c>
      <c r="I991" s="2"/>
      <c r="J991" s="2">
        <v>1</v>
      </c>
      <c r="K991" s="2"/>
      <c r="L991" s="3">
        <v>27.95</v>
      </c>
      <c r="M991" s="3">
        <v>2.79</v>
      </c>
      <c r="N991" s="3">
        <v>1.59</v>
      </c>
      <c r="O991" s="3">
        <f>1.26</f>
        <v>1.26</v>
      </c>
      <c r="P991" s="3">
        <f>1.26-1.26</f>
        <v>0</v>
      </c>
      <c r="Q991" s="6">
        <f t="shared" si="2165"/>
        <v>23.57</v>
      </c>
      <c r="R991" s="3"/>
      <c r="S991" s="3">
        <v>17.989999999999998</v>
      </c>
      <c r="T991" s="3">
        <v>0.85</v>
      </c>
      <c r="U991" s="3"/>
      <c r="V991" s="3"/>
      <c r="W991" s="3"/>
      <c r="X991" s="2">
        <f t="shared" ref="X991" si="2172">+S991+T991++U991+V991-W991</f>
        <v>18.84</v>
      </c>
      <c r="Y991" s="6">
        <f t="shared" ref="Y991" si="2173">+Q991-X991</f>
        <v>4.7300000000000004</v>
      </c>
      <c r="Z991" s="2"/>
      <c r="AA991" s="2"/>
      <c r="AB991" s="2"/>
      <c r="AC991" s="3"/>
      <c r="AD991" s="2"/>
      <c r="AE991" s="2"/>
      <c r="AF991" s="2"/>
      <c r="AG991" s="2"/>
      <c r="AH991" s="2" t="s">
        <v>2332</v>
      </c>
      <c r="AI991" s="2" t="s">
        <v>2331</v>
      </c>
      <c r="AJ991" s="2"/>
      <c r="AK991" s="2"/>
      <c r="AL991" s="2"/>
      <c r="AM991" s="2"/>
      <c r="AN991" s="2"/>
      <c r="AO991" s="2" t="s">
        <v>2402</v>
      </c>
      <c r="AP991" s="2" t="s">
        <v>2401</v>
      </c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</row>
    <row r="992" spans="3:58" ht="17.25" customHeight="1">
      <c r="C992" s="1">
        <v>43936</v>
      </c>
      <c r="E992" s="2" t="s">
        <v>2320</v>
      </c>
      <c r="F992" s="2"/>
      <c r="G992" s="2" t="s">
        <v>2325</v>
      </c>
      <c r="H992" s="2" t="s">
        <v>2326</v>
      </c>
      <c r="I992" s="2"/>
      <c r="J992" s="2">
        <v>1</v>
      </c>
      <c r="K992" s="2"/>
      <c r="L992" s="3">
        <v>83.5</v>
      </c>
      <c r="M992" s="3">
        <v>8.35</v>
      </c>
      <c r="N992" s="3">
        <v>4.3</v>
      </c>
      <c r="O992" s="3">
        <f>7.52</f>
        <v>7.52</v>
      </c>
      <c r="P992" s="3">
        <f>7.52-7.52</f>
        <v>0</v>
      </c>
      <c r="Q992" s="6">
        <f t="shared" si="2165"/>
        <v>70.850000000000009</v>
      </c>
      <c r="R992" s="3"/>
      <c r="S992" s="3">
        <v>65.19</v>
      </c>
      <c r="T992" s="3">
        <v>5.87</v>
      </c>
      <c r="U992" s="3"/>
      <c r="V992" s="3"/>
      <c r="W992" s="3">
        <v>6.51</v>
      </c>
      <c r="X992" s="2">
        <f t="shared" ref="X992" si="2174">+S992+T992++U992+V992-W992</f>
        <v>64.55</v>
      </c>
      <c r="Y992" s="6">
        <f t="shared" ref="Y992" si="2175">+Q992-X992</f>
        <v>6.3000000000000114</v>
      </c>
      <c r="Z992" s="2"/>
      <c r="AA992" s="6">
        <f>+Y992</f>
        <v>6.3000000000000114</v>
      </c>
      <c r="AB992" s="2"/>
      <c r="AC992" s="3"/>
      <c r="AD992" s="2"/>
      <c r="AE992" s="2"/>
      <c r="AF992" s="2"/>
      <c r="AG992" s="2"/>
      <c r="AH992" s="2" t="s">
        <v>2328</v>
      </c>
      <c r="AI992" s="2" t="s">
        <v>2327</v>
      </c>
      <c r="AJ992" s="2"/>
      <c r="AK992" s="2"/>
      <c r="AL992" s="2"/>
      <c r="AM992" s="2"/>
      <c r="AN992" s="2"/>
      <c r="AO992" s="16" t="s">
        <v>2374</v>
      </c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</row>
    <row r="993" spans="3:58" ht="17.25" customHeight="1">
      <c r="C993" s="1">
        <v>43936</v>
      </c>
      <c r="E993" s="2" t="s">
        <v>1794</v>
      </c>
      <c r="F993" s="2"/>
      <c r="G993" s="2" t="s">
        <v>2321</v>
      </c>
      <c r="H993" s="2" t="s">
        <v>2322</v>
      </c>
      <c r="I993" s="2"/>
      <c r="J993" s="2">
        <v>1</v>
      </c>
      <c r="K993" s="2"/>
      <c r="L993" s="3">
        <v>83.5</v>
      </c>
      <c r="M993" s="3">
        <v>8.35</v>
      </c>
      <c r="N993" s="3">
        <v>4.16</v>
      </c>
      <c r="O993" s="3">
        <f>4.18</f>
        <v>4.18</v>
      </c>
      <c r="P993" s="3">
        <f>4.18-4.18</f>
        <v>0</v>
      </c>
      <c r="Q993" s="6">
        <f t="shared" si="2165"/>
        <v>70.990000000000009</v>
      </c>
      <c r="R993" s="3"/>
      <c r="S993" s="3">
        <v>65.19</v>
      </c>
      <c r="T993" s="3">
        <v>3.26</v>
      </c>
      <c r="U993" s="3"/>
      <c r="V993" s="3"/>
      <c r="W993" s="3">
        <v>6.51</v>
      </c>
      <c r="X993" s="2">
        <f t="shared" ref="X993" si="2176">+S993+T993++U993+V993-W993</f>
        <v>61.940000000000005</v>
      </c>
      <c r="Y993" s="6">
        <f t="shared" ref="Y993" si="2177">+Q993-X993</f>
        <v>9.0500000000000043</v>
      </c>
      <c r="Z993" s="2"/>
      <c r="AA993" s="6">
        <f>+Y993</f>
        <v>9.0500000000000043</v>
      </c>
      <c r="AB993" s="2"/>
      <c r="AC993" s="3"/>
      <c r="AD993" s="2"/>
      <c r="AE993" s="2"/>
      <c r="AF993" s="2"/>
      <c r="AG993" s="2"/>
      <c r="AH993" s="2" t="s">
        <v>2324</v>
      </c>
      <c r="AI993" s="2" t="s">
        <v>2323</v>
      </c>
      <c r="AJ993" s="2"/>
      <c r="AK993" s="2"/>
      <c r="AL993" s="2"/>
      <c r="AM993" s="2"/>
      <c r="AN993" s="2"/>
      <c r="AO993" s="16" t="s">
        <v>2373</v>
      </c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</row>
    <row r="994" spans="3:58" ht="17.25" customHeight="1">
      <c r="C994" s="1">
        <v>43936</v>
      </c>
      <c r="E994" s="2" t="s">
        <v>1884</v>
      </c>
      <c r="F994" s="2"/>
      <c r="G994" s="2" t="s">
        <v>2312</v>
      </c>
      <c r="H994" s="2" t="s">
        <v>2313</v>
      </c>
      <c r="I994" s="2"/>
      <c r="J994" s="2">
        <v>1</v>
      </c>
      <c r="K994" s="2"/>
      <c r="L994" s="3">
        <v>20.9</v>
      </c>
      <c r="M994" s="3">
        <v>2.09</v>
      </c>
      <c r="N994" s="3">
        <v>1.2</v>
      </c>
      <c r="O994" s="3">
        <f>1.67</f>
        <v>1.67</v>
      </c>
      <c r="P994" s="3">
        <f>1.67-1.67</f>
        <v>0</v>
      </c>
      <c r="Q994" s="6">
        <f t="shared" si="2165"/>
        <v>17.61</v>
      </c>
      <c r="R994" s="3"/>
      <c r="S994" s="3">
        <v>12.99</v>
      </c>
      <c r="T994" s="3">
        <v>1.04</v>
      </c>
      <c r="U994" s="3"/>
      <c r="V994" s="3"/>
      <c r="W994" s="3"/>
      <c r="X994" s="2">
        <f t="shared" ref="X994" si="2178">+S994+T994++U994+V994-W994</f>
        <v>14.030000000000001</v>
      </c>
      <c r="Y994" s="6">
        <f t="shared" ref="Y994" si="2179">+Q994-X994</f>
        <v>3.5799999999999983</v>
      </c>
      <c r="Z994" s="2"/>
      <c r="AA994" s="2"/>
      <c r="AB994" s="2"/>
      <c r="AC994" s="3"/>
      <c r="AD994" s="2"/>
      <c r="AE994" s="2"/>
      <c r="AF994" s="2"/>
      <c r="AG994" s="2"/>
      <c r="AH994" s="2" t="s">
        <v>2315</v>
      </c>
      <c r="AI994" s="2" t="s">
        <v>2314</v>
      </c>
      <c r="AJ994" s="2"/>
      <c r="AK994" s="2"/>
      <c r="AL994" s="2" t="s">
        <v>3249</v>
      </c>
      <c r="AM994" s="2" t="s">
        <v>3298</v>
      </c>
      <c r="AN994" s="2"/>
      <c r="AO994" s="16" t="s">
        <v>2360</v>
      </c>
      <c r="AP994" s="2" t="s">
        <v>3217</v>
      </c>
      <c r="AQ994" s="2"/>
      <c r="AR994" s="2" t="s">
        <v>3299</v>
      </c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</row>
    <row r="995" spans="3:58">
      <c r="C995" s="1">
        <v>43936</v>
      </c>
      <c r="E995" s="2" t="s">
        <v>1922</v>
      </c>
      <c r="F995" s="2"/>
      <c r="G995" s="2" t="s">
        <v>2316</v>
      </c>
      <c r="H995" s="2" t="s">
        <v>2317</v>
      </c>
      <c r="I995" s="2"/>
      <c r="J995" s="2">
        <v>1</v>
      </c>
      <c r="K995" s="2"/>
      <c r="L995" s="3">
        <v>22.75</v>
      </c>
      <c r="M995" s="3">
        <v>2.27</v>
      </c>
      <c r="N995" s="3">
        <v>1.37</v>
      </c>
      <c r="O995" s="3">
        <f>1.59</f>
        <v>1.59</v>
      </c>
      <c r="P995" s="3">
        <f>1.59-1.59</f>
        <v>0</v>
      </c>
      <c r="Q995" s="6">
        <f t="shared" si="2165"/>
        <v>19.11</v>
      </c>
      <c r="R995" s="3"/>
      <c r="S995" s="3">
        <v>14.49</v>
      </c>
      <c r="T995" s="3">
        <v>0.87</v>
      </c>
      <c r="U995" s="3"/>
      <c r="V995" s="3"/>
      <c r="W995" s="3"/>
      <c r="X995" s="2">
        <f t="shared" ref="X995" si="2180">+S995+T995++U995+V995-W995</f>
        <v>15.36</v>
      </c>
      <c r="Y995" s="6">
        <f t="shared" ref="Y995" si="2181">+Q995-X995</f>
        <v>3.75</v>
      </c>
      <c r="Z995" s="2"/>
      <c r="AA995" s="2"/>
      <c r="AB995" s="2"/>
      <c r="AC995" s="3"/>
      <c r="AD995" s="2"/>
      <c r="AE995" s="2"/>
      <c r="AF995" s="2"/>
      <c r="AG995" s="2"/>
      <c r="AH995" s="2" t="s">
        <v>2319</v>
      </c>
      <c r="AI995" s="2" t="s">
        <v>2318</v>
      </c>
      <c r="AJ995" s="2"/>
      <c r="AK995" s="2"/>
      <c r="AL995" s="2"/>
      <c r="AM995" s="2"/>
      <c r="AN995" s="2"/>
      <c r="AO995" s="2" t="s">
        <v>2368</v>
      </c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</row>
    <row r="996" spans="3:58">
      <c r="C996" s="1">
        <v>43936</v>
      </c>
      <c r="E996" s="2" t="s">
        <v>2024</v>
      </c>
      <c r="F996" s="2"/>
      <c r="G996" s="2" t="s">
        <v>2307</v>
      </c>
      <c r="H996" s="2" t="s">
        <v>2308</v>
      </c>
      <c r="I996" s="2"/>
      <c r="J996" s="2">
        <v>1</v>
      </c>
      <c r="K996" s="2"/>
      <c r="L996" s="3">
        <v>52.95</v>
      </c>
      <c r="M996" s="3">
        <v>5.29</v>
      </c>
      <c r="N996" s="3">
        <v>2.77</v>
      </c>
      <c r="O996" s="3">
        <f>3.18</f>
        <v>3.18</v>
      </c>
      <c r="P996" s="3">
        <f>3.18-3.18</f>
        <v>0</v>
      </c>
      <c r="Q996" s="6">
        <f t="shared" si="2165"/>
        <v>44.89</v>
      </c>
      <c r="R996" s="3"/>
      <c r="S996" s="3">
        <v>34.020000000000003</v>
      </c>
      <c r="T996" s="3">
        <v>1.93</v>
      </c>
      <c r="U996" s="3"/>
      <c r="V996" s="3"/>
      <c r="W996" s="3"/>
      <c r="X996" s="2">
        <f t="shared" ref="X996" si="2182">+S996+T996++U996+V996-W996</f>
        <v>35.950000000000003</v>
      </c>
      <c r="Y996" s="6">
        <f t="shared" ref="Y996" si="2183">+Q996-X996</f>
        <v>8.9399999999999977</v>
      </c>
      <c r="Z996" s="6">
        <f>+Y996</f>
        <v>8.9399999999999977</v>
      </c>
      <c r="AA996" s="2"/>
      <c r="AB996" s="2"/>
      <c r="AC996" s="3"/>
      <c r="AD996" s="2"/>
      <c r="AE996" s="2"/>
      <c r="AF996" s="2"/>
      <c r="AG996" s="2"/>
      <c r="AH996" s="2" t="s">
        <v>2310</v>
      </c>
      <c r="AI996" s="2" t="s">
        <v>2309</v>
      </c>
      <c r="AJ996" s="2"/>
      <c r="AK996" s="2"/>
      <c r="AL996" s="2"/>
      <c r="AM996" s="2"/>
      <c r="AN996" s="2"/>
      <c r="AO996" s="16" t="s">
        <v>2366</v>
      </c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</row>
    <row r="997" spans="3:58">
      <c r="C997" s="1">
        <v>43935</v>
      </c>
      <c r="E997" s="2" t="s">
        <v>2289</v>
      </c>
      <c r="F997" s="2"/>
      <c r="G997" s="2" t="s">
        <v>2304</v>
      </c>
      <c r="H997" s="2" t="s">
        <v>2482</v>
      </c>
      <c r="I997" s="2"/>
      <c r="J997" s="2">
        <v>1</v>
      </c>
      <c r="K997" s="2"/>
      <c r="L997" s="3">
        <v>28.5</v>
      </c>
      <c r="M997" s="3">
        <v>2.85</v>
      </c>
      <c r="N997" s="3">
        <v>1.64</v>
      </c>
      <c r="O997" s="3">
        <f>2</f>
        <v>2</v>
      </c>
      <c r="P997" s="3">
        <f>2-2</f>
        <v>0</v>
      </c>
      <c r="Q997" s="6">
        <f t="shared" si="2165"/>
        <v>24.009999999999998</v>
      </c>
      <c r="R997" s="3"/>
      <c r="S997" s="3">
        <v>19.98</v>
      </c>
      <c r="T997" s="3">
        <v>1.4</v>
      </c>
      <c r="U997" s="3"/>
      <c r="V997" s="3"/>
      <c r="W997" s="3"/>
      <c r="X997" s="2">
        <f t="shared" ref="X997" si="2184">+S997+T997++U997+V997-W997</f>
        <v>21.38</v>
      </c>
      <c r="Y997" s="6">
        <f t="shared" ref="Y997" si="2185">+Q997-X997</f>
        <v>2.629999999999999</v>
      </c>
      <c r="Z997" s="2"/>
      <c r="AA997" s="2"/>
      <c r="AB997" s="2"/>
      <c r="AC997" s="3"/>
      <c r="AD997" s="2"/>
      <c r="AE997" s="2"/>
      <c r="AF997" s="2"/>
      <c r="AG997" s="2"/>
      <c r="AH997" s="2" t="s">
        <v>2306</v>
      </c>
      <c r="AI997" s="2" t="s">
        <v>2305</v>
      </c>
      <c r="AJ997" s="2"/>
      <c r="AK997" s="2"/>
      <c r="AL997" s="2"/>
      <c r="AM997" s="2"/>
      <c r="AN997" s="2"/>
      <c r="AO997" s="16" t="s">
        <v>2351</v>
      </c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</row>
    <row r="998" spans="3:58">
      <c r="C998" s="1">
        <v>43935</v>
      </c>
      <c r="E998" s="2" t="s">
        <v>2024</v>
      </c>
      <c r="F998" s="2"/>
      <c r="G998" s="2" t="s">
        <v>2300</v>
      </c>
      <c r="H998" s="2" t="s">
        <v>2301</v>
      </c>
      <c r="I998" s="2"/>
      <c r="J998" s="2">
        <v>1</v>
      </c>
      <c r="K998" s="2"/>
      <c r="L998" s="3">
        <v>52.95</v>
      </c>
      <c r="M998" s="3">
        <v>5.29</v>
      </c>
      <c r="N998" s="3">
        <v>2.83</v>
      </c>
      <c r="O998" s="3">
        <f>4.61</f>
        <v>4.6100000000000003</v>
      </c>
      <c r="P998" s="3">
        <f>4.61-4.61</f>
        <v>0</v>
      </c>
      <c r="Q998" s="6">
        <f t="shared" si="2165"/>
        <v>44.830000000000005</v>
      </c>
      <c r="R998" s="3"/>
      <c r="S998" s="3">
        <v>34.020000000000003</v>
      </c>
      <c r="T998" s="3">
        <v>2.96</v>
      </c>
      <c r="U998" s="3"/>
      <c r="V998" s="3"/>
      <c r="W998" s="3"/>
      <c r="X998" s="2">
        <f t="shared" ref="X998" si="2186">+S998+T998++U998+V998-W998</f>
        <v>36.980000000000004</v>
      </c>
      <c r="Y998" s="6">
        <f t="shared" ref="Y998" si="2187">+Q998-X998</f>
        <v>7.8500000000000014</v>
      </c>
      <c r="Z998" s="6">
        <f>+Y998</f>
        <v>7.8500000000000014</v>
      </c>
      <c r="AA998" s="2"/>
      <c r="AB998" s="2"/>
      <c r="AC998" s="3"/>
      <c r="AD998" s="2"/>
      <c r="AE998" s="2"/>
      <c r="AF998" s="2"/>
      <c r="AG998" s="2"/>
      <c r="AH998" s="2" t="s">
        <v>2303</v>
      </c>
      <c r="AI998" s="2" t="s">
        <v>2302</v>
      </c>
      <c r="AJ998" s="2"/>
      <c r="AK998" s="2"/>
      <c r="AL998" s="2"/>
      <c r="AM998" s="2"/>
      <c r="AN998" s="2"/>
      <c r="AO998" s="2" t="s">
        <v>2367</v>
      </c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</row>
    <row r="999" spans="3:58">
      <c r="C999" s="1">
        <v>43935</v>
      </c>
      <c r="E999" s="2" t="s">
        <v>2289</v>
      </c>
      <c r="F999" s="2"/>
      <c r="G999" s="2" t="s">
        <v>2294</v>
      </c>
      <c r="H999" s="2" t="s">
        <v>2295</v>
      </c>
      <c r="I999" s="2"/>
      <c r="J999" s="2">
        <v>1</v>
      </c>
      <c r="K999" s="2"/>
      <c r="L999" s="3">
        <v>28.5</v>
      </c>
      <c r="M999" s="3">
        <v>2.85</v>
      </c>
      <c r="N999" s="3">
        <v>1.64</v>
      </c>
      <c r="O999" s="3">
        <f>1.85</f>
        <v>1.85</v>
      </c>
      <c r="P999" s="3">
        <f>1.85-1.85</f>
        <v>0</v>
      </c>
      <c r="Q999" s="6">
        <f t="shared" si="2165"/>
        <v>24.009999999999998</v>
      </c>
      <c r="R999" s="3"/>
      <c r="S999" s="3">
        <v>19.98</v>
      </c>
      <c r="T999" s="3">
        <v>1.3</v>
      </c>
      <c r="U999" s="3"/>
      <c r="V999" s="3"/>
      <c r="W999" s="3"/>
      <c r="X999" s="2">
        <f t="shared" ref="X999" si="2188">+S999+T999++U999+V999-W999</f>
        <v>21.28</v>
      </c>
      <c r="Y999" s="6">
        <f t="shared" ref="Y999" si="2189">+Q999-X999</f>
        <v>2.7299999999999969</v>
      </c>
      <c r="Z999" s="2"/>
      <c r="AA999" s="2"/>
      <c r="AB999" s="2"/>
      <c r="AC999" s="3"/>
      <c r="AD999" s="2"/>
      <c r="AE999" s="2"/>
      <c r="AF999" s="2"/>
      <c r="AG999" s="2"/>
      <c r="AH999" s="2" t="s">
        <v>2297</v>
      </c>
      <c r="AI999" s="2" t="s">
        <v>2296</v>
      </c>
      <c r="AJ999" s="2"/>
      <c r="AK999" s="2"/>
      <c r="AL999" s="2"/>
      <c r="AM999" s="2"/>
      <c r="AN999" s="2"/>
      <c r="AO999" s="16" t="s">
        <v>2350</v>
      </c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</row>
    <row r="1000" spans="3:58">
      <c r="C1000" s="1">
        <v>43935</v>
      </c>
      <c r="E1000" s="2" t="s">
        <v>2288</v>
      </c>
      <c r="F1000" s="2"/>
      <c r="G1000" s="2" t="s">
        <v>2290</v>
      </c>
      <c r="H1000" s="2" t="s">
        <v>2291</v>
      </c>
      <c r="I1000" s="2"/>
      <c r="J1000" s="2">
        <v>1</v>
      </c>
      <c r="K1000" s="2"/>
      <c r="L1000" s="3">
        <v>72.5</v>
      </c>
      <c r="M1000" s="3">
        <v>7.25</v>
      </c>
      <c r="N1000" s="3">
        <v>3.67</v>
      </c>
      <c r="O1000" s="3">
        <f>4.06</f>
        <v>4.0599999999999996</v>
      </c>
      <c r="P1000" s="3">
        <f>4.06-4.06</f>
        <v>0</v>
      </c>
      <c r="Q1000" s="6">
        <f t="shared" si="2165"/>
        <v>61.58</v>
      </c>
      <c r="R1000" s="3"/>
      <c r="S1000" s="3">
        <v>45.99</v>
      </c>
      <c r="T1000" s="3"/>
      <c r="U1000" s="3">
        <v>4.99</v>
      </c>
      <c r="V1000" s="3"/>
      <c r="W1000" s="3">
        <v>4.59</v>
      </c>
      <c r="X1000" s="2">
        <f t="shared" ref="X1000" si="2190">+S1000+T1000++U1000+V1000-W1000</f>
        <v>46.39</v>
      </c>
      <c r="Y1000" s="6">
        <f t="shared" ref="Y1000" si="2191">+Q1000-X1000</f>
        <v>15.189999999999998</v>
      </c>
      <c r="Z1000" s="2"/>
      <c r="AA1000" s="2"/>
      <c r="AB1000" s="2"/>
      <c r="AC1000" s="3"/>
      <c r="AD1000" s="2"/>
      <c r="AE1000" s="2"/>
      <c r="AF1000" s="2"/>
      <c r="AG1000" s="2"/>
      <c r="AH1000" s="2" t="s">
        <v>2293</v>
      </c>
      <c r="AI1000" s="2" t="s">
        <v>2292</v>
      </c>
      <c r="AJ1000" s="2"/>
      <c r="AK1000" s="2"/>
      <c r="AL1000" s="2" t="s">
        <v>3247</v>
      </c>
      <c r="AM1000" s="2" t="s">
        <v>3718</v>
      </c>
      <c r="AN1000" s="2"/>
      <c r="AO1000" s="2" t="s">
        <v>3140</v>
      </c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</row>
    <row r="1001" spans="3:58">
      <c r="C1001" s="1">
        <v>43935</v>
      </c>
      <c r="E1001" s="2" t="s">
        <v>1687</v>
      </c>
      <c r="F1001" s="2"/>
      <c r="G1001" s="2" t="s">
        <v>2286</v>
      </c>
      <c r="H1001" s="2" t="s">
        <v>2287</v>
      </c>
      <c r="I1001" s="2"/>
      <c r="J1001" s="2">
        <v>1</v>
      </c>
      <c r="K1001" s="2"/>
      <c r="L1001" s="3">
        <v>72.5</v>
      </c>
      <c r="M1001" s="3">
        <v>7.25</v>
      </c>
      <c r="N1001" s="3">
        <v>3.69</v>
      </c>
      <c r="O1001" s="3">
        <f>4.53</f>
        <v>4.53</v>
      </c>
      <c r="P1001" s="3">
        <f>4.53-4.53</f>
        <v>0</v>
      </c>
      <c r="Q1001" s="6">
        <f t="shared" si="2165"/>
        <v>61.56</v>
      </c>
      <c r="R1001" s="3"/>
      <c r="S1001" s="3">
        <v>46.99</v>
      </c>
      <c r="T1001" s="3"/>
      <c r="U1001" s="3">
        <v>4.99</v>
      </c>
      <c r="V1001" s="3"/>
      <c r="W1001" s="3">
        <v>4.6900000000000004</v>
      </c>
      <c r="X1001" s="2">
        <f t="shared" ref="X1001" si="2192">+S1001+T1001++U1001+V1001-W1001</f>
        <v>47.290000000000006</v>
      </c>
      <c r="Y1001" s="6">
        <f t="shared" ref="Y1001" si="2193">+Q1001-X1001</f>
        <v>14.269999999999996</v>
      </c>
      <c r="Z1001" s="2"/>
      <c r="AA1001" s="2"/>
      <c r="AB1001" s="2"/>
      <c r="AC1001" s="3"/>
      <c r="AD1001" s="2"/>
      <c r="AE1001" s="2"/>
      <c r="AF1001" s="2"/>
      <c r="AG1001" s="2"/>
      <c r="AH1001" s="2" t="s">
        <v>2299</v>
      </c>
      <c r="AI1001" s="2" t="s">
        <v>2298</v>
      </c>
      <c r="AJ1001" s="2"/>
      <c r="AK1001" s="2"/>
      <c r="AL1001" s="2" t="s">
        <v>3247</v>
      </c>
      <c r="AM1001" s="16" t="s">
        <v>3512</v>
      </c>
      <c r="AN1001" s="2"/>
      <c r="AO1001" s="2" t="s">
        <v>3138</v>
      </c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</row>
    <row r="1002" spans="3:58">
      <c r="C1002" s="1">
        <v>43935</v>
      </c>
      <c r="E1002" s="2" t="s">
        <v>2554</v>
      </c>
      <c r="F1002" s="2"/>
      <c r="G1002" s="2" t="s">
        <v>2273</v>
      </c>
      <c r="H1002" s="2" t="s">
        <v>2274</v>
      </c>
      <c r="I1002" s="2"/>
      <c r="J1002" s="2">
        <v>1</v>
      </c>
      <c r="K1002" s="2"/>
      <c r="L1002" s="3">
        <v>72.5</v>
      </c>
      <c r="M1002" s="3">
        <v>7.25</v>
      </c>
      <c r="N1002" s="3">
        <v>3.67</v>
      </c>
      <c r="O1002" s="3">
        <f>3.99</f>
        <v>3.99</v>
      </c>
      <c r="P1002" s="3">
        <f>3.99-3.99</f>
        <v>0</v>
      </c>
      <c r="Q1002" s="6">
        <f t="shared" si="2165"/>
        <v>61.58</v>
      </c>
      <c r="R1002" s="3"/>
      <c r="S1002" s="3">
        <v>46.99</v>
      </c>
      <c r="T1002" s="3"/>
      <c r="U1002" s="3">
        <v>4.99</v>
      </c>
      <c r="V1002" s="3"/>
      <c r="W1002" s="3">
        <v>4.6900000000000004</v>
      </c>
      <c r="X1002" s="2">
        <f t="shared" ref="X1002" si="2194">+S1002+T1002++U1002+V1002-W1002</f>
        <v>47.290000000000006</v>
      </c>
      <c r="Y1002" s="6">
        <f t="shared" ref="Y1002" si="2195">+Q1002-X1002</f>
        <v>14.289999999999992</v>
      </c>
      <c r="Z1002" s="2"/>
      <c r="AA1002" s="2"/>
      <c r="AB1002" s="2"/>
      <c r="AC1002" s="3"/>
      <c r="AD1002" s="2"/>
      <c r="AE1002" s="2"/>
      <c r="AF1002" s="2"/>
      <c r="AG1002" s="2"/>
      <c r="AH1002" s="2" t="s">
        <v>2276</v>
      </c>
      <c r="AI1002" s="2" t="s">
        <v>2275</v>
      </c>
      <c r="AJ1002" s="2"/>
      <c r="AK1002" s="2"/>
      <c r="AL1002" s="2" t="s">
        <v>3248</v>
      </c>
      <c r="AM1002" s="16" t="s">
        <v>3511</v>
      </c>
      <c r="AN1002" s="2"/>
      <c r="AO1002" s="2" t="s">
        <v>3137</v>
      </c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</row>
    <row r="1003" spans="3:58">
      <c r="C1003" s="1">
        <v>43935</v>
      </c>
      <c r="E1003" s="2" t="s">
        <v>2024</v>
      </c>
      <c r="F1003" s="2"/>
      <c r="G1003" s="2" t="s">
        <v>2265</v>
      </c>
      <c r="H1003" s="2" t="s">
        <v>2266</v>
      </c>
      <c r="I1003" s="2"/>
      <c r="J1003" s="2">
        <v>1</v>
      </c>
      <c r="K1003" s="2"/>
      <c r="L1003" s="3">
        <v>52.95</v>
      </c>
      <c r="M1003" s="3">
        <v>5.29</v>
      </c>
      <c r="N1003" s="3">
        <v>2.79</v>
      </c>
      <c r="O1003" s="3">
        <f>3.71</f>
        <v>3.71</v>
      </c>
      <c r="P1003" s="3">
        <f>3.71-3.71</f>
        <v>0</v>
      </c>
      <c r="Q1003" s="6">
        <f t="shared" si="2165"/>
        <v>44.870000000000005</v>
      </c>
      <c r="R1003" s="3"/>
      <c r="S1003" s="3">
        <v>34.020000000000003</v>
      </c>
      <c r="T1003" s="3">
        <v>2.59</v>
      </c>
      <c r="U1003" s="3"/>
      <c r="V1003" s="3"/>
      <c r="W1003" s="3"/>
      <c r="X1003" s="2">
        <f t="shared" ref="X1003" si="2196">+S1003+T1003++U1003+V1003-W1003</f>
        <v>36.61</v>
      </c>
      <c r="Y1003" s="6">
        <f t="shared" ref="Y1003" si="2197">+Q1003-X1003</f>
        <v>8.2600000000000051</v>
      </c>
      <c r="Z1003" s="6">
        <f>+Y1003</f>
        <v>8.2600000000000051</v>
      </c>
      <c r="AA1003" s="2"/>
      <c r="AB1003" s="2"/>
      <c r="AC1003" s="3"/>
      <c r="AD1003" s="2"/>
      <c r="AE1003" s="2"/>
      <c r="AF1003" s="2"/>
      <c r="AG1003" s="2"/>
      <c r="AH1003" s="2" t="s">
        <v>2268</v>
      </c>
      <c r="AI1003" s="2" t="s">
        <v>2267</v>
      </c>
      <c r="AJ1003" s="2"/>
      <c r="AK1003" s="2"/>
      <c r="AL1003" s="2"/>
      <c r="AM1003" s="2"/>
      <c r="AN1003" s="2"/>
      <c r="AO1003" s="2" t="s">
        <v>2349</v>
      </c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</row>
    <row r="1004" spans="3:58">
      <c r="C1004" s="1">
        <v>43935</v>
      </c>
      <c r="E1004" s="2" t="s">
        <v>2024</v>
      </c>
      <c r="F1004" s="2"/>
      <c r="G1004" s="2" t="s">
        <v>2261</v>
      </c>
      <c r="H1004" s="2" t="s">
        <v>2262</v>
      </c>
      <c r="I1004" s="2"/>
      <c r="J1004" s="2">
        <v>1</v>
      </c>
      <c r="K1004" s="2"/>
      <c r="L1004" s="3">
        <v>52.95</v>
      </c>
      <c r="M1004" s="3">
        <v>5.29</v>
      </c>
      <c r="N1004" s="3">
        <v>2.79</v>
      </c>
      <c r="O1004" s="3"/>
      <c r="P1004" s="3">
        <v>3.71</v>
      </c>
      <c r="Q1004" s="6">
        <f t="shared" si="2165"/>
        <v>48.580000000000005</v>
      </c>
      <c r="R1004" s="3"/>
      <c r="S1004" s="3">
        <v>34.020000000000003</v>
      </c>
      <c r="T1004" s="3">
        <v>2.38</v>
      </c>
      <c r="U1004" s="3"/>
      <c r="V1004" s="3"/>
      <c r="W1004" s="3"/>
      <c r="X1004" s="2">
        <f t="shared" ref="X1004" si="2198">+S1004+T1004++U1004+V1004-W1004</f>
        <v>36.400000000000006</v>
      </c>
      <c r="Y1004" s="6">
        <f t="shared" ref="Y1004" si="2199">+Q1004-X1004</f>
        <v>12.18</v>
      </c>
      <c r="Z1004" s="6">
        <f>+Y1004</f>
        <v>12.18</v>
      </c>
      <c r="AA1004" s="2"/>
      <c r="AB1004" s="2"/>
      <c r="AC1004" s="3"/>
      <c r="AD1004" s="2"/>
      <c r="AE1004" s="2"/>
      <c r="AF1004" s="2"/>
      <c r="AG1004" s="2"/>
      <c r="AH1004" s="2" t="s">
        <v>2264</v>
      </c>
      <c r="AI1004" s="2" t="s">
        <v>2263</v>
      </c>
      <c r="AJ1004" s="2"/>
      <c r="AK1004" s="2"/>
      <c r="AL1004" s="2"/>
      <c r="AM1004" s="2"/>
      <c r="AN1004" s="2"/>
      <c r="AO1004" s="16" t="s">
        <v>2348</v>
      </c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</row>
    <row r="1005" spans="3:58">
      <c r="C1005" s="1">
        <v>43934</v>
      </c>
      <c r="E1005" s="2" t="s">
        <v>2260</v>
      </c>
      <c r="F1005" s="2"/>
      <c r="G1005" s="2" t="s">
        <v>2269</v>
      </c>
      <c r="H1005" s="2" t="s">
        <v>2270</v>
      </c>
      <c r="I1005" s="2"/>
      <c r="J1005" s="2">
        <v>1</v>
      </c>
      <c r="K1005" s="2"/>
      <c r="L1005" s="3">
        <v>83.5</v>
      </c>
      <c r="M1005" s="3">
        <v>8.35</v>
      </c>
      <c r="N1005" s="3">
        <v>4.3</v>
      </c>
      <c r="O1005" s="3"/>
      <c r="P1005" s="3">
        <v>7.52</v>
      </c>
      <c r="Q1005" s="6">
        <f t="shared" si="2165"/>
        <v>78.37</v>
      </c>
      <c r="R1005" s="3"/>
      <c r="S1005" s="3">
        <v>65.19</v>
      </c>
      <c r="T1005" s="3">
        <v>5.87</v>
      </c>
      <c r="U1005" s="3"/>
      <c r="V1005" s="3"/>
      <c r="W1005" s="3">
        <v>6.51</v>
      </c>
      <c r="X1005" s="2">
        <f t="shared" ref="X1005" si="2200">+S1005+T1005++U1005+V1005-W1005</f>
        <v>64.55</v>
      </c>
      <c r="Y1005" s="6">
        <f t="shared" ref="Y1005" si="2201">+Q1005-X1005</f>
        <v>13.820000000000007</v>
      </c>
      <c r="Z1005" s="2"/>
      <c r="AA1005" s="6">
        <f>+Y1005</f>
        <v>13.820000000000007</v>
      </c>
      <c r="AB1005" s="2"/>
      <c r="AC1005" s="3"/>
      <c r="AD1005" s="2"/>
      <c r="AE1005" s="2"/>
      <c r="AF1005" s="2"/>
      <c r="AG1005" s="2"/>
      <c r="AH1005" s="2" t="s">
        <v>2272</v>
      </c>
      <c r="AI1005" s="2" t="s">
        <v>2271</v>
      </c>
      <c r="AJ1005" s="2"/>
      <c r="AK1005" s="2"/>
      <c r="AL1005" s="2"/>
      <c r="AM1005" s="2"/>
      <c r="AN1005" s="2"/>
      <c r="AO1005" s="2" t="s">
        <v>2346</v>
      </c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</row>
    <row r="1006" spans="3:58">
      <c r="C1006" s="1">
        <v>43934</v>
      </c>
      <c r="E1006" s="2" t="s">
        <v>1837</v>
      </c>
      <c r="F1006" s="2"/>
      <c r="G1006" s="2" t="s">
        <v>2256</v>
      </c>
      <c r="H1006" s="2" t="s">
        <v>2257</v>
      </c>
      <c r="I1006" s="2"/>
      <c r="J1006" s="2">
        <v>1</v>
      </c>
      <c r="K1006" s="2"/>
      <c r="L1006" s="3">
        <v>24.5</v>
      </c>
      <c r="M1006" s="3">
        <v>2.4500000000000002</v>
      </c>
      <c r="N1006" s="3">
        <v>1.45</v>
      </c>
      <c r="O1006" s="3">
        <f>1.72</f>
        <v>1.72</v>
      </c>
      <c r="P1006" s="3">
        <f>1.72-1.72</f>
        <v>0</v>
      </c>
      <c r="Q1006" s="6">
        <f t="shared" si="2165"/>
        <v>20.6</v>
      </c>
      <c r="R1006" s="3"/>
      <c r="S1006" s="3">
        <v>16.5</v>
      </c>
      <c r="T1006" s="3">
        <v>1.1599999999999999</v>
      </c>
      <c r="U1006" s="3"/>
      <c r="V1006" s="3"/>
      <c r="W1006" s="3"/>
      <c r="X1006" s="2">
        <f t="shared" ref="X1006:X1007" si="2202">+S1006+T1006++U1006+V1006-W1006</f>
        <v>17.66</v>
      </c>
      <c r="Y1006" s="6">
        <f t="shared" ref="Y1006:Y1007" si="2203">+Q1006-X1006</f>
        <v>2.9400000000000013</v>
      </c>
      <c r="Z1006" s="2"/>
      <c r="AA1006" s="2"/>
      <c r="AB1006" s="2"/>
      <c r="AC1006" s="3"/>
      <c r="AD1006" s="2"/>
      <c r="AE1006" s="2"/>
      <c r="AF1006" s="2"/>
      <c r="AG1006" s="2"/>
      <c r="AH1006" s="2" t="s">
        <v>2259</v>
      </c>
      <c r="AI1006" s="2" t="s">
        <v>2258</v>
      </c>
      <c r="AJ1006" s="2"/>
      <c r="AK1006" s="2"/>
      <c r="AL1006" s="2"/>
      <c r="AM1006" s="2"/>
      <c r="AN1006" s="2"/>
      <c r="AO1006" s="16" t="s">
        <v>2345</v>
      </c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</row>
    <row r="1007" spans="3:58">
      <c r="C1007" s="1">
        <v>43934</v>
      </c>
      <c r="E1007" s="2" t="s">
        <v>1068</v>
      </c>
      <c r="F1007" s="2"/>
      <c r="G1007" s="2" t="s">
        <v>2252</v>
      </c>
      <c r="H1007" s="2" t="s">
        <v>2253</v>
      </c>
      <c r="I1007" s="2"/>
      <c r="J1007" s="2">
        <v>1</v>
      </c>
      <c r="K1007" s="2"/>
      <c r="L1007" s="3">
        <v>23.2</v>
      </c>
      <c r="M1007" s="3">
        <v>2.3199999999999998</v>
      </c>
      <c r="N1007" s="3">
        <v>1.37</v>
      </c>
      <c r="O1007" s="3">
        <f>2.23</f>
        <v>2.23</v>
      </c>
      <c r="P1007" s="3">
        <f>2.23-2.23</f>
        <v>0</v>
      </c>
      <c r="Q1007" s="6">
        <f t="shared" si="2165"/>
        <v>19.509999999999998</v>
      </c>
      <c r="R1007" s="3"/>
      <c r="S1007" s="3">
        <v>17.04</v>
      </c>
      <c r="T1007" s="3">
        <v>0.9</v>
      </c>
      <c r="U1007" s="3"/>
      <c r="V1007" s="3"/>
      <c r="W1007" s="3"/>
      <c r="X1007" s="3">
        <f t="shared" si="2202"/>
        <v>17.939999999999998</v>
      </c>
      <c r="Y1007" s="3">
        <f t="shared" si="2203"/>
        <v>1.5700000000000003</v>
      </c>
      <c r="Z1007" s="2"/>
      <c r="AA1007" s="2"/>
      <c r="AB1007" s="2"/>
      <c r="AC1007" s="3"/>
      <c r="AD1007" s="2"/>
      <c r="AE1007" s="2"/>
      <c r="AF1007" s="2"/>
      <c r="AG1007" s="2"/>
      <c r="AH1007" s="2" t="s">
        <v>2255</v>
      </c>
      <c r="AI1007" s="2" t="s">
        <v>2254</v>
      </c>
      <c r="AJ1007" s="2"/>
      <c r="AK1007" s="2"/>
      <c r="AL1007" s="2"/>
      <c r="AM1007" s="2"/>
      <c r="AN1007" s="2"/>
      <c r="AO1007" s="16" t="s">
        <v>2424</v>
      </c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</row>
    <row r="1008" spans="3:58">
      <c r="C1008" s="1">
        <v>43934</v>
      </c>
      <c r="E1008" s="2" t="s">
        <v>1619</v>
      </c>
      <c r="F1008" s="2"/>
      <c r="G1008" s="2" t="s">
        <v>2248</v>
      </c>
      <c r="H1008" s="2" t="s">
        <v>2249</v>
      </c>
      <c r="I1008" s="2"/>
      <c r="J1008" s="2">
        <v>1</v>
      </c>
      <c r="K1008" s="2"/>
      <c r="L1008" s="3">
        <v>83.5</v>
      </c>
      <c r="M1008" s="3">
        <v>8.35</v>
      </c>
      <c r="N1008" s="3">
        <v>4.12</v>
      </c>
      <c r="O1008" s="3">
        <f>6.47</f>
        <v>6.47</v>
      </c>
      <c r="P1008" s="3">
        <f>6.47-6.47</f>
        <v>0</v>
      </c>
      <c r="Q1008" s="6">
        <f t="shared" si="2165"/>
        <v>71.03</v>
      </c>
      <c r="R1008" s="3"/>
      <c r="S1008" s="3">
        <v>65.19</v>
      </c>
      <c r="T1008" s="3">
        <v>5.05</v>
      </c>
      <c r="U1008" s="3"/>
      <c r="V1008" s="3"/>
      <c r="W1008" s="3">
        <v>6.51</v>
      </c>
      <c r="X1008" s="2">
        <f t="shared" ref="X1008" si="2204">+S1008+T1008++U1008+V1008-W1008</f>
        <v>63.73</v>
      </c>
      <c r="Y1008" s="6">
        <f t="shared" ref="Y1008" si="2205">+Q1008-X1008</f>
        <v>7.3000000000000043</v>
      </c>
      <c r="Z1008" s="2"/>
      <c r="AA1008" s="6">
        <f>+Y1008</f>
        <v>7.3000000000000043</v>
      </c>
      <c r="AB1008" s="2"/>
      <c r="AC1008" s="3"/>
      <c r="AD1008" s="2"/>
      <c r="AE1008" s="2"/>
      <c r="AF1008" s="2"/>
      <c r="AG1008" s="2"/>
      <c r="AH1008" s="2" t="s">
        <v>2251</v>
      </c>
      <c r="AI1008" s="2" t="s">
        <v>2250</v>
      </c>
      <c r="AJ1008" s="2"/>
      <c r="AK1008" s="2"/>
      <c r="AL1008" s="2"/>
      <c r="AM1008" s="2"/>
      <c r="AN1008" s="2"/>
      <c r="AO1008" s="16" t="s">
        <v>2365</v>
      </c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</row>
    <row r="1009" spans="2:58">
      <c r="C1009" s="1">
        <v>43934</v>
      </c>
      <c r="E1009" s="2" t="s">
        <v>2247</v>
      </c>
      <c r="F1009" s="2"/>
      <c r="G1009" s="2" t="s">
        <v>2248</v>
      </c>
      <c r="H1009" s="2" t="s">
        <v>2249</v>
      </c>
      <c r="I1009" s="2"/>
      <c r="J1009" s="2">
        <v>1</v>
      </c>
      <c r="K1009" s="2"/>
      <c r="L1009" s="3">
        <v>72.5</v>
      </c>
      <c r="M1009" s="3">
        <v>7.25</v>
      </c>
      <c r="N1009" s="3">
        <v>3.58</v>
      </c>
      <c r="O1009" s="3">
        <f>5.62</f>
        <v>5.62</v>
      </c>
      <c r="P1009" s="3">
        <f>5.62-5.62</f>
        <v>0</v>
      </c>
      <c r="Q1009" s="6">
        <f t="shared" si="2165"/>
        <v>61.67</v>
      </c>
      <c r="R1009" s="3"/>
      <c r="S1009" s="3">
        <v>59.19</v>
      </c>
      <c r="T1009" s="3">
        <v>4.58</v>
      </c>
      <c r="U1009" s="3"/>
      <c r="V1009" s="3"/>
      <c r="W1009" s="3">
        <v>5.91</v>
      </c>
      <c r="X1009" s="2">
        <f t="shared" ref="X1009" si="2206">+S1009+T1009++U1009+V1009-W1009</f>
        <v>57.86</v>
      </c>
      <c r="Y1009" s="6">
        <f t="shared" ref="Y1009" si="2207">+Q1009-X1009</f>
        <v>3.8100000000000023</v>
      </c>
      <c r="Z1009" s="2"/>
      <c r="AA1009" s="6">
        <f>+Y1009</f>
        <v>3.8100000000000023</v>
      </c>
      <c r="AB1009" s="2"/>
      <c r="AC1009" s="3"/>
      <c r="AD1009" s="2"/>
      <c r="AE1009" s="2"/>
      <c r="AF1009" s="2"/>
      <c r="AG1009" s="2"/>
      <c r="AH1009" s="2" t="s">
        <v>2251</v>
      </c>
      <c r="AI1009" s="2" t="s">
        <v>2250</v>
      </c>
      <c r="AJ1009" s="2"/>
      <c r="AK1009" s="2"/>
      <c r="AL1009" s="2"/>
      <c r="AM1009" s="2"/>
      <c r="AN1009" s="2"/>
      <c r="AO1009" s="2" t="s">
        <v>2793</v>
      </c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</row>
    <row r="1010" spans="2:58">
      <c r="C1010" s="1">
        <v>43933</v>
      </c>
      <c r="E1010" s="2" t="s">
        <v>2024</v>
      </c>
      <c r="F1010" s="2"/>
      <c r="G1010" s="2" t="s">
        <v>2242</v>
      </c>
      <c r="H1010" s="2" t="s">
        <v>2432</v>
      </c>
      <c r="I1010" s="2"/>
      <c r="J1010" s="2">
        <v>1</v>
      </c>
      <c r="K1010" s="2"/>
      <c r="L1010" s="3"/>
      <c r="M1010" s="3"/>
      <c r="N1010" s="3"/>
      <c r="O1010" s="3"/>
      <c r="P1010" s="3"/>
      <c r="Q1010" s="6">
        <f t="shared" si="2165"/>
        <v>0</v>
      </c>
      <c r="R1010" s="3"/>
      <c r="S1010" s="3"/>
      <c r="T1010" s="3"/>
      <c r="U1010" s="3"/>
      <c r="V1010" s="3"/>
      <c r="W1010" s="3"/>
      <c r="X1010" s="2">
        <f t="shared" ref="X1010" si="2208">+S1010+T1010++U1010+V1010-W1010</f>
        <v>0</v>
      </c>
      <c r="Y1010" s="6">
        <f t="shared" ref="Y1010" si="2209">+Q1010-X1010</f>
        <v>0</v>
      </c>
      <c r="Z1010" s="6">
        <f>+Y1010</f>
        <v>0</v>
      </c>
      <c r="AA1010" s="2"/>
      <c r="AB1010" s="2"/>
      <c r="AC1010" s="3"/>
      <c r="AD1010" s="2"/>
      <c r="AE1010" s="2"/>
      <c r="AF1010" s="2"/>
      <c r="AG1010" s="2"/>
      <c r="AH1010" s="2" t="s">
        <v>2278</v>
      </c>
      <c r="AI1010" s="2" t="s">
        <v>2277</v>
      </c>
      <c r="AJ1010" s="2"/>
      <c r="AK1010" s="2"/>
      <c r="AL1010" s="2"/>
      <c r="AM1010" s="2"/>
      <c r="AN1010" s="2"/>
      <c r="AO1010" s="16" t="s">
        <v>2285</v>
      </c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</row>
    <row r="1011" spans="2:58">
      <c r="C1011" s="1">
        <v>43933</v>
      </c>
      <c r="E1011" s="2" t="s">
        <v>1619</v>
      </c>
      <c r="F1011" s="2"/>
      <c r="G1011" s="2" t="s">
        <v>2243</v>
      </c>
      <c r="H1011" s="2" t="s">
        <v>2244</v>
      </c>
      <c r="I1011" s="2"/>
      <c r="J1011" s="2">
        <v>1</v>
      </c>
      <c r="K1011" s="2"/>
      <c r="L1011" s="3">
        <v>83.5</v>
      </c>
      <c r="M1011" s="3">
        <v>8.35</v>
      </c>
      <c r="N1011" s="3">
        <v>4.24</v>
      </c>
      <c r="O1011" s="3"/>
      <c r="P1011" s="3">
        <v>6.05</v>
      </c>
      <c r="Q1011" s="6">
        <f t="shared" si="2165"/>
        <v>76.960000000000008</v>
      </c>
      <c r="R1011" s="3"/>
      <c r="S1011" s="3">
        <v>65.19</v>
      </c>
      <c r="T1011" s="3">
        <v>4.72</v>
      </c>
      <c r="U1011" s="3"/>
      <c r="V1011" s="3"/>
      <c r="W1011" s="3">
        <v>6.51</v>
      </c>
      <c r="X1011" s="2">
        <f t="shared" ref="X1011" si="2210">+S1011+T1011++U1011+V1011-W1011</f>
        <v>63.4</v>
      </c>
      <c r="Y1011" s="6">
        <f t="shared" ref="Y1011" si="2211">+Q1011-X1011</f>
        <v>13.560000000000009</v>
      </c>
      <c r="Z1011" s="2"/>
      <c r="AA1011" s="6">
        <f>+Y1011</f>
        <v>13.560000000000009</v>
      </c>
      <c r="AB1011" s="2"/>
      <c r="AC1011" s="3"/>
      <c r="AD1011" s="2"/>
      <c r="AE1011" s="2"/>
      <c r="AF1011" s="2"/>
      <c r="AG1011" s="2"/>
      <c r="AH1011" s="2" t="s">
        <v>2246</v>
      </c>
      <c r="AI1011" s="2" t="s">
        <v>2245</v>
      </c>
      <c r="AJ1011" s="2"/>
      <c r="AK1011" s="2"/>
      <c r="AL1011" s="2"/>
      <c r="AM1011" s="2"/>
      <c r="AN1011" s="2"/>
      <c r="AO1011" s="2" t="s">
        <v>2347</v>
      </c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</row>
    <row r="1012" spans="2:58">
      <c r="C1012" s="1">
        <v>43933</v>
      </c>
      <c r="E1012" s="2" t="s">
        <v>2024</v>
      </c>
      <c r="F1012" s="2"/>
      <c r="G1012" s="2" t="s">
        <v>2238</v>
      </c>
      <c r="H1012" s="2" t="s">
        <v>2239</v>
      </c>
      <c r="I1012" s="2"/>
      <c r="J1012" s="2">
        <v>1</v>
      </c>
      <c r="K1012" s="2"/>
      <c r="L1012" s="3">
        <v>52.95</v>
      </c>
      <c r="M1012" s="3">
        <v>5.29</v>
      </c>
      <c r="N1012" s="3">
        <v>2.79</v>
      </c>
      <c r="O1012" s="3"/>
      <c r="P1012" s="3">
        <v>3.71</v>
      </c>
      <c r="Q1012" s="6">
        <f t="shared" si="2165"/>
        <v>48.580000000000005</v>
      </c>
      <c r="R1012" s="3"/>
      <c r="S1012" s="3">
        <v>34.020000000000003</v>
      </c>
      <c r="T1012" s="3">
        <v>2.38</v>
      </c>
      <c r="U1012" s="3"/>
      <c r="V1012" s="3"/>
      <c r="W1012" s="3"/>
      <c r="X1012" s="2">
        <f t="shared" ref="X1012" si="2212">+S1012+T1012++U1012+V1012-W1012</f>
        <v>36.400000000000006</v>
      </c>
      <c r="Y1012" s="6">
        <f t="shared" ref="Y1012" si="2213">+Q1012-X1012</f>
        <v>12.18</v>
      </c>
      <c r="Z1012" s="6">
        <f>+Y1012</f>
        <v>12.18</v>
      </c>
      <c r="AA1012" s="2"/>
      <c r="AB1012" s="2"/>
      <c r="AC1012" s="3"/>
      <c r="AD1012" s="2"/>
      <c r="AE1012" s="2"/>
      <c r="AF1012" s="2"/>
      <c r="AG1012" s="2"/>
      <c r="AH1012" s="2" t="s">
        <v>2241</v>
      </c>
      <c r="AI1012" s="2" t="s">
        <v>2240</v>
      </c>
      <c r="AJ1012" s="2"/>
      <c r="AK1012" s="2"/>
      <c r="AL1012" s="2"/>
      <c r="AM1012" s="2"/>
      <c r="AN1012" s="2"/>
      <c r="AO1012" s="2" t="s">
        <v>2343</v>
      </c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</row>
    <row r="1013" spans="2:58">
      <c r="C1013" s="1">
        <v>43933</v>
      </c>
      <c r="E1013" s="2" t="s">
        <v>2000</v>
      </c>
      <c r="F1013" s="2"/>
      <c r="G1013" s="2" t="s">
        <v>2234</v>
      </c>
      <c r="H1013" s="2" t="s">
        <v>2235</v>
      </c>
      <c r="I1013" s="2"/>
      <c r="J1013" s="2">
        <v>1</v>
      </c>
      <c r="K1013" s="2"/>
      <c r="L1013" s="3">
        <v>19</v>
      </c>
      <c r="M1013" s="3">
        <v>1.9</v>
      </c>
      <c r="N1013" s="3">
        <v>1.1000000000000001</v>
      </c>
      <c r="O1013" s="3"/>
      <c r="P1013" s="3"/>
      <c r="Q1013" s="6">
        <f t="shared" si="2165"/>
        <v>16</v>
      </c>
      <c r="R1013" s="3"/>
      <c r="S1013" s="3">
        <v>12.97</v>
      </c>
      <c r="T1013" s="3">
        <v>1.1200000000000001</v>
      </c>
      <c r="U1013" s="3"/>
      <c r="V1013" s="3"/>
      <c r="W1013" s="3"/>
      <c r="X1013" s="2">
        <f t="shared" ref="X1013" si="2214">+S1013+T1013++U1013+V1013-W1013</f>
        <v>14.09</v>
      </c>
      <c r="Y1013" s="6">
        <f t="shared" ref="Y1013" si="2215">+Q1013-X1013</f>
        <v>1.9100000000000001</v>
      </c>
      <c r="Z1013" s="2"/>
      <c r="AA1013" s="2"/>
      <c r="AB1013" s="2"/>
      <c r="AC1013" s="3"/>
      <c r="AD1013" s="2"/>
      <c r="AE1013" s="2"/>
      <c r="AF1013" s="2"/>
      <c r="AG1013" s="2"/>
      <c r="AH1013" s="2" t="s">
        <v>2237</v>
      </c>
      <c r="AI1013" s="2" t="s">
        <v>2236</v>
      </c>
      <c r="AJ1013" s="2"/>
      <c r="AK1013" s="2"/>
      <c r="AL1013" s="2"/>
      <c r="AM1013" s="2"/>
      <c r="AN1013" s="2"/>
      <c r="AO1013" s="16" t="s">
        <v>2344</v>
      </c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</row>
    <row r="1014" spans="2:58">
      <c r="C1014" s="1">
        <v>43933</v>
      </c>
      <c r="E1014" s="2" t="s">
        <v>2229</v>
      </c>
      <c r="F1014" s="2"/>
      <c r="G1014" s="2" t="s">
        <v>2230</v>
      </c>
      <c r="H1014" s="2" t="s">
        <v>2231</v>
      </c>
      <c r="I1014" s="2"/>
      <c r="J1014" s="2">
        <v>1</v>
      </c>
      <c r="K1014" s="2"/>
      <c r="L1014" s="3">
        <v>53.85</v>
      </c>
      <c r="M1014" s="3">
        <v>5.38</v>
      </c>
      <c r="N1014" s="3">
        <v>2.86</v>
      </c>
      <c r="O1014" s="3">
        <f>4.31</f>
        <v>4.3099999999999996</v>
      </c>
      <c r="P1014" s="3">
        <f>4.31-4.31</f>
        <v>0</v>
      </c>
      <c r="Q1014" s="6">
        <f t="shared" si="2165"/>
        <v>45.61</v>
      </c>
      <c r="R1014" s="3"/>
      <c r="S1014" s="3">
        <v>39.99</v>
      </c>
      <c r="T1014" s="3">
        <v>3.2</v>
      </c>
      <c r="U1014" s="3"/>
      <c r="V1014" s="3"/>
      <c r="W1014" s="3"/>
      <c r="X1014" s="2">
        <f t="shared" ref="X1014" si="2216">+S1014+T1014++U1014+V1014-W1014</f>
        <v>43.190000000000005</v>
      </c>
      <c r="Y1014" s="6">
        <f t="shared" ref="Y1014" si="2217">+Q1014-X1014</f>
        <v>2.4199999999999946</v>
      </c>
      <c r="Z1014" s="2"/>
      <c r="AA1014" s="2"/>
      <c r="AB1014" s="2"/>
      <c r="AC1014" s="3"/>
      <c r="AD1014" s="2"/>
      <c r="AE1014" s="2"/>
      <c r="AF1014" s="2"/>
      <c r="AG1014" s="2"/>
      <c r="AH1014" s="2" t="s">
        <v>2233</v>
      </c>
      <c r="AI1014" s="2" t="s">
        <v>2232</v>
      </c>
      <c r="AJ1014" s="2"/>
      <c r="AK1014" s="2"/>
      <c r="AL1014" s="2"/>
      <c r="AM1014" s="2"/>
      <c r="AN1014" s="2"/>
      <c r="AO1014" s="16" t="s">
        <v>2342</v>
      </c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</row>
    <row r="1015" spans="2:58">
      <c r="C1015" s="1">
        <v>43933</v>
      </c>
      <c r="E1015" s="2" t="s">
        <v>34</v>
      </c>
      <c r="F1015" s="2"/>
      <c r="G1015" s="2" t="s">
        <v>2220</v>
      </c>
      <c r="H1015" s="2" t="s">
        <v>2221</v>
      </c>
      <c r="I1015" s="2"/>
      <c r="J1015" s="2">
        <v>1</v>
      </c>
      <c r="K1015" s="2"/>
      <c r="L1015" s="3">
        <v>25.5</v>
      </c>
      <c r="M1015" s="3">
        <v>2.5499999999999998</v>
      </c>
      <c r="N1015" s="3">
        <v>1.5</v>
      </c>
      <c r="O1015" s="3">
        <f>1.72</f>
        <v>1.72</v>
      </c>
      <c r="P1015" s="3">
        <f>1.72-1.72</f>
        <v>0</v>
      </c>
      <c r="Q1015" s="6">
        <f t="shared" si="2165"/>
        <v>21.45</v>
      </c>
      <c r="R1015" s="3"/>
      <c r="S1015" s="3">
        <v>18.489999999999998</v>
      </c>
      <c r="T1015" s="3">
        <v>1.25</v>
      </c>
      <c r="U1015" s="3"/>
      <c r="V1015" s="3"/>
      <c r="W1015" s="3"/>
      <c r="X1015" s="2">
        <f t="shared" ref="X1015" si="2218">+S1015+T1015++U1015+V1015-W1015</f>
        <v>19.739999999999998</v>
      </c>
      <c r="Y1015" s="6">
        <f t="shared" ref="Y1015" si="2219">+Q1015-X1015</f>
        <v>1.7100000000000009</v>
      </c>
      <c r="Z1015" s="2"/>
      <c r="AA1015" s="2"/>
      <c r="AB1015" s="2"/>
      <c r="AC1015" s="3"/>
      <c r="AD1015" s="2"/>
      <c r="AE1015" s="2"/>
      <c r="AF1015" s="2"/>
      <c r="AG1015" s="2"/>
      <c r="AH1015" s="2" t="s">
        <v>2223</v>
      </c>
      <c r="AI1015" s="2" t="s">
        <v>2222</v>
      </c>
      <c r="AJ1015" s="2"/>
      <c r="AK1015" s="2"/>
      <c r="AL1015" s="2"/>
      <c r="AM1015" s="2"/>
      <c r="AN1015" s="2"/>
      <c r="AO1015" s="16" t="s">
        <v>2341</v>
      </c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</row>
    <row r="1016" spans="2:58">
      <c r="C1016" s="1">
        <v>43932</v>
      </c>
      <c r="E1016" s="2" t="s">
        <v>2045</v>
      </c>
      <c r="F1016" s="2"/>
      <c r="G1016" s="2" t="s">
        <v>2218</v>
      </c>
      <c r="H1016" s="2" t="s">
        <v>2219</v>
      </c>
      <c r="I1016" s="2"/>
      <c r="J1016" s="2">
        <v>3</v>
      </c>
      <c r="K1016" s="2"/>
      <c r="L1016" s="3">
        <v>102.75</v>
      </c>
      <c r="M1016" s="3">
        <v>10.27</v>
      </c>
      <c r="N1016" s="3">
        <v>5.0999999999999996</v>
      </c>
      <c r="O1016" s="3">
        <f>6.42</f>
        <v>6.42</v>
      </c>
      <c r="P1016" s="3">
        <f>6.42-6.42</f>
        <v>0</v>
      </c>
      <c r="Q1016" s="6">
        <f t="shared" si="2165"/>
        <v>87.38000000000001</v>
      </c>
      <c r="R1016" s="3"/>
      <c r="S1016" s="3">
        <v>71.97</v>
      </c>
      <c r="T1016" s="3">
        <v>4.49</v>
      </c>
      <c r="U1016" s="3"/>
      <c r="V1016" s="3"/>
      <c r="W1016" s="3"/>
      <c r="X1016" s="2">
        <f t="shared" ref="X1016:X1017" si="2220">+S1016+T1016++U1016+V1016-W1016</f>
        <v>76.459999999999994</v>
      </c>
      <c r="Y1016" s="6">
        <f t="shared" ref="Y1016:Y1017" si="2221">+Q1016-X1016</f>
        <v>10.920000000000016</v>
      </c>
      <c r="Z1016" s="2"/>
      <c r="AA1016" s="2"/>
      <c r="AB1016" s="2"/>
      <c r="AC1016" s="3"/>
      <c r="AD1016" s="2"/>
      <c r="AE1016" s="2"/>
      <c r="AF1016" s="2"/>
      <c r="AG1016" s="2"/>
      <c r="AH1016" s="2" t="s">
        <v>2225</v>
      </c>
      <c r="AI1016" s="2" t="s">
        <v>2224</v>
      </c>
      <c r="AJ1016" s="2"/>
      <c r="AK1016" s="2"/>
      <c r="AL1016" s="2"/>
      <c r="AM1016" s="2"/>
      <c r="AN1016" s="2"/>
      <c r="AO1016" s="2" t="s">
        <v>2791</v>
      </c>
      <c r="AP1016" s="2" t="s">
        <v>2792</v>
      </c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</row>
    <row r="1017" spans="2:58">
      <c r="B1017" t="s">
        <v>2016</v>
      </c>
      <c r="C1017" s="1">
        <v>43932</v>
      </c>
      <c r="E1017" s="2" t="s">
        <v>1794</v>
      </c>
      <c r="F1017" s="2"/>
      <c r="G1017" s="2" t="s">
        <v>2214</v>
      </c>
      <c r="H1017" s="2" t="s">
        <v>2215</v>
      </c>
      <c r="I1017" s="2"/>
      <c r="J1017" s="2">
        <v>1</v>
      </c>
      <c r="K1017" s="2"/>
      <c r="L1017" s="3">
        <v>82.5</v>
      </c>
      <c r="M1017" s="3">
        <v>8.25</v>
      </c>
      <c r="N1017" s="3">
        <v>4.2300000000000004</v>
      </c>
      <c r="O1017" s="3">
        <f>6.81</f>
        <v>6.81</v>
      </c>
      <c r="P1017" s="3">
        <f>6.81-6.81</f>
        <v>0</v>
      </c>
      <c r="Q1017" s="6">
        <f t="shared" si="2165"/>
        <v>70.02</v>
      </c>
      <c r="R1017" s="3"/>
      <c r="S1017" s="3">
        <v>65.19</v>
      </c>
      <c r="T1017" s="3">
        <v>5.38</v>
      </c>
      <c r="U1017" s="3"/>
      <c r="V1017" s="3"/>
      <c r="W1017" s="3">
        <v>6.51</v>
      </c>
      <c r="X1017" s="2">
        <f t="shared" si="2220"/>
        <v>64.059999999999988</v>
      </c>
      <c r="Y1017" s="6">
        <f t="shared" si="2221"/>
        <v>5.960000000000008</v>
      </c>
      <c r="Z1017" s="2"/>
      <c r="AA1017" s="6">
        <f>+Y1017</f>
        <v>5.960000000000008</v>
      </c>
      <c r="AB1017" s="2"/>
      <c r="AC1017" s="3"/>
      <c r="AD1017" s="2"/>
      <c r="AE1017" s="2"/>
      <c r="AF1017" s="2"/>
      <c r="AG1017" s="2"/>
      <c r="AH1017" s="2" t="s">
        <v>2217</v>
      </c>
      <c r="AI1017" s="2" t="s">
        <v>2216</v>
      </c>
      <c r="AJ1017" s="2"/>
      <c r="AK1017" s="2"/>
      <c r="AL1017" s="2"/>
      <c r="AM1017" s="2"/>
      <c r="AN1017" s="2"/>
      <c r="AO1017" s="16" t="s">
        <v>2311</v>
      </c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</row>
    <row r="1018" spans="2:58">
      <c r="C1018" s="1">
        <v>43932</v>
      </c>
      <c r="E1018" s="2" t="s">
        <v>2085</v>
      </c>
      <c r="F1018" s="2"/>
      <c r="G1018" s="2" t="s">
        <v>2212</v>
      </c>
      <c r="H1018" s="2" t="s">
        <v>2213</v>
      </c>
      <c r="I1018" s="2"/>
      <c r="J1018" s="2">
        <v>1</v>
      </c>
      <c r="K1018" s="2"/>
      <c r="L1018" s="3">
        <v>27.75</v>
      </c>
      <c r="M1018" s="3">
        <v>2.77</v>
      </c>
      <c r="N1018" s="3">
        <v>1.59</v>
      </c>
      <c r="O1018" s="3">
        <f>1.55</f>
        <v>1.55</v>
      </c>
      <c r="P1018" s="3">
        <f>1.55-1.55</f>
        <v>0</v>
      </c>
      <c r="Q1018" s="6">
        <f t="shared" si="2165"/>
        <v>23.39</v>
      </c>
      <c r="R1018" s="3"/>
      <c r="S1018" s="3">
        <v>17.989999999999998</v>
      </c>
      <c r="T1018" s="3">
        <v>1.1299999999999999</v>
      </c>
      <c r="U1018" s="3"/>
      <c r="V1018" s="3"/>
      <c r="W1018" s="3"/>
      <c r="X1018" s="2">
        <f t="shared" ref="X1018" si="2222">+S1018+T1018++U1018+V1018-W1018</f>
        <v>19.119999999999997</v>
      </c>
      <c r="Y1018" s="6">
        <f t="shared" ref="Y1018" si="2223">+Q1018-X1018</f>
        <v>4.2700000000000031</v>
      </c>
      <c r="Z1018" s="2"/>
      <c r="AA1018" s="2"/>
      <c r="AB1018" s="2"/>
      <c r="AC1018" s="3"/>
      <c r="AD1018" s="2"/>
      <c r="AE1018" s="2"/>
      <c r="AF1018" s="2"/>
      <c r="AG1018" s="2"/>
      <c r="AH1018" s="2" t="s">
        <v>2227</v>
      </c>
      <c r="AI1018" s="2" t="s">
        <v>2226</v>
      </c>
      <c r="AJ1018" s="2"/>
      <c r="AK1018" s="2"/>
      <c r="AL1018" s="2"/>
      <c r="AM1018" s="2"/>
      <c r="AN1018" s="2"/>
      <c r="AO1018" s="16" t="s">
        <v>2283</v>
      </c>
      <c r="AP1018" s="2" t="s">
        <v>2401</v>
      </c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</row>
    <row r="1019" spans="2:58">
      <c r="C1019" s="1">
        <v>43932</v>
      </c>
      <c r="E1019" s="2" t="s">
        <v>2085</v>
      </c>
      <c r="F1019" s="2"/>
      <c r="G1019" s="2" t="s">
        <v>2203</v>
      </c>
      <c r="H1019" s="2" t="s">
        <v>2204</v>
      </c>
      <c r="I1019" s="2"/>
      <c r="J1019" s="2">
        <v>3</v>
      </c>
      <c r="K1019" s="2"/>
      <c r="L1019" s="3">
        <v>83.5</v>
      </c>
      <c r="M1019" s="3">
        <v>8.35</v>
      </c>
      <c r="N1019" s="3">
        <v>4.22</v>
      </c>
      <c r="O1019" s="3">
        <f>5.83</f>
        <v>5.83</v>
      </c>
      <c r="P1019" s="3">
        <f>5.83-5.83</f>
        <v>0</v>
      </c>
      <c r="Q1019" s="6">
        <f t="shared" si="2165"/>
        <v>70.930000000000007</v>
      </c>
      <c r="R1019" s="3"/>
      <c r="S1019" s="3">
        <v>53.97</v>
      </c>
      <c r="T1019" s="3">
        <v>3.77</v>
      </c>
      <c r="U1019" s="3"/>
      <c r="V1019" s="3"/>
      <c r="W1019" s="3"/>
      <c r="X1019" s="2">
        <f t="shared" ref="X1019" si="2224">+S1019+T1019++U1019+V1019-W1019</f>
        <v>57.74</v>
      </c>
      <c r="Y1019" s="6">
        <f t="shared" ref="Y1019" si="2225">+Q1019-X1019</f>
        <v>13.190000000000005</v>
      </c>
      <c r="Z1019" s="2"/>
      <c r="AA1019" s="2"/>
      <c r="AB1019" s="2"/>
      <c r="AC1019" s="3"/>
      <c r="AD1019" s="2"/>
      <c r="AE1019" s="2"/>
      <c r="AF1019" s="2"/>
      <c r="AG1019" s="2"/>
      <c r="AH1019" s="2" t="s">
        <v>2206</v>
      </c>
      <c r="AI1019" s="2" t="s">
        <v>2205</v>
      </c>
      <c r="AJ1019" s="2"/>
      <c r="AK1019" s="2"/>
      <c r="AL1019" s="2"/>
      <c r="AM1019" s="2"/>
      <c r="AN1019" s="2"/>
      <c r="AO1019" s="16" t="s">
        <v>2284</v>
      </c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</row>
    <row r="1020" spans="2:58">
      <c r="C1020" s="1">
        <v>43931</v>
      </c>
      <c r="E1020" s="2" t="s">
        <v>2045</v>
      </c>
      <c r="F1020" s="2"/>
      <c r="G1020" s="2" t="s">
        <v>2199</v>
      </c>
      <c r="H1020" s="2" t="s">
        <v>2200</v>
      </c>
      <c r="I1020" s="2"/>
      <c r="J1020" s="2">
        <v>1</v>
      </c>
      <c r="K1020" s="2"/>
      <c r="L1020" s="3">
        <v>34.25</v>
      </c>
      <c r="M1020" s="3">
        <v>3.42</v>
      </c>
      <c r="N1020" s="3">
        <v>1.81</v>
      </c>
      <c r="O1020" s="3"/>
      <c r="P1020" s="3"/>
      <c r="Q1020" s="6">
        <f t="shared" si="2165"/>
        <v>29.02</v>
      </c>
      <c r="R1020" s="3"/>
      <c r="S1020" s="3">
        <v>23.99</v>
      </c>
      <c r="T1020" s="3"/>
      <c r="U1020" s="3"/>
      <c r="V1020" s="3"/>
      <c r="W1020" s="3"/>
      <c r="X1020" s="2">
        <f t="shared" ref="X1020" si="2226">+S1020+T1020++U1020+V1020-W1020</f>
        <v>23.99</v>
      </c>
      <c r="Y1020" s="6">
        <f t="shared" ref="Y1020" si="2227">+Q1020-X1020</f>
        <v>5.0300000000000011</v>
      </c>
      <c r="Z1020" s="2"/>
      <c r="AA1020" s="2"/>
      <c r="AB1020" s="2"/>
      <c r="AC1020" s="3"/>
      <c r="AD1020" s="2"/>
      <c r="AE1020" s="2"/>
      <c r="AF1020" s="2"/>
      <c r="AG1020" s="2"/>
      <c r="AH1020" s="2" t="s">
        <v>2202</v>
      </c>
      <c r="AI1020" s="2" t="s">
        <v>2201</v>
      </c>
      <c r="AJ1020" s="2"/>
      <c r="AK1020" s="2"/>
      <c r="AL1020" s="2"/>
      <c r="AM1020" s="2"/>
      <c r="AN1020" s="2"/>
      <c r="AO1020" s="16" t="s">
        <v>2228</v>
      </c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</row>
    <row r="1021" spans="2:58">
      <c r="C1021" s="1">
        <v>43931</v>
      </c>
      <c r="E1021" s="2" t="s">
        <v>2045</v>
      </c>
      <c r="F1021" s="2"/>
      <c r="G1021" s="2" t="s">
        <v>2191</v>
      </c>
      <c r="H1021" s="2" t="s">
        <v>2192</v>
      </c>
      <c r="I1021" s="2"/>
      <c r="J1021" s="2">
        <v>1</v>
      </c>
      <c r="K1021" s="2"/>
      <c r="L1021" s="3">
        <v>34.25</v>
      </c>
      <c r="M1021" s="3">
        <v>3.42</v>
      </c>
      <c r="N1021" s="3">
        <v>1.9</v>
      </c>
      <c r="O1021" s="3">
        <f>2.06</f>
        <v>2.06</v>
      </c>
      <c r="P1021" s="3">
        <f>2.06-2.06</f>
        <v>0</v>
      </c>
      <c r="Q1021" s="6">
        <f t="shared" si="2165"/>
        <v>28.93</v>
      </c>
      <c r="R1021" s="3"/>
      <c r="S1021" s="3">
        <v>23.99</v>
      </c>
      <c r="T1021" s="3"/>
      <c r="U1021" s="3"/>
      <c r="V1021" s="3"/>
      <c r="W1021" s="3"/>
      <c r="X1021" s="3" t="s">
        <v>2016</v>
      </c>
      <c r="Y1021" s="3"/>
      <c r="Z1021" s="2"/>
      <c r="AA1021" s="2"/>
      <c r="AB1021" s="2"/>
      <c r="AC1021" s="3"/>
      <c r="AD1021" s="2"/>
      <c r="AE1021" s="2"/>
      <c r="AF1021" s="2"/>
      <c r="AG1021" s="2"/>
      <c r="AH1021" s="2" t="s">
        <v>2194</v>
      </c>
      <c r="AI1021" s="2" t="s">
        <v>2193</v>
      </c>
      <c r="AJ1021" s="2"/>
      <c r="AK1021" s="2"/>
      <c r="AL1021" s="2"/>
      <c r="AM1021" s="2"/>
      <c r="AN1021" s="2"/>
      <c r="AO1021" s="16" t="s">
        <v>2209</v>
      </c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</row>
    <row r="1022" spans="2:58">
      <c r="C1022" s="1">
        <v>43931</v>
      </c>
      <c r="E1022" s="2" t="s">
        <v>2186</v>
      </c>
      <c r="F1022" s="2"/>
      <c r="G1022" s="2" t="s">
        <v>2187</v>
      </c>
      <c r="H1022" s="2" t="s">
        <v>2196</v>
      </c>
      <c r="I1022" s="2"/>
      <c r="J1022" s="2">
        <v>1</v>
      </c>
      <c r="K1022" s="2"/>
      <c r="L1022" s="3">
        <v>81.5</v>
      </c>
      <c r="M1022" s="3">
        <v>8.15</v>
      </c>
      <c r="N1022" s="3">
        <v>7.54</v>
      </c>
      <c r="O1022" s="3">
        <f>7.54</f>
        <v>7.54</v>
      </c>
      <c r="P1022" s="3">
        <f>7.54-7.54</f>
        <v>0</v>
      </c>
      <c r="Q1022" s="6">
        <f t="shared" si="2165"/>
        <v>65.809999999999988</v>
      </c>
      <c r="R1022" s="3"/>
      <c r="S1022" s="3">
        <v>65.19</v>
      </c>
      <c r="T1022" s="3"/>
      <c r="U1022" s="3"/>
      <c r="V1022" s="3"/>
      <c r="W1022" s="3">
        <v>6.51</v>
      </c>
      <c r="X1022" s="2">
        <f t="shared" ref="X1022" si="2228">+S1022+T1022++U1022+V1022-W1022</f>
        <v>58.68</v>
      </c>
      <c r="Y1022" s="6">
        <f t="shared" ref="Y1022" si="2229">+Q1022-X1022</f>
        <v>7.1299999999999883</v>
      </c>
      <c r="Z1022" s="2"/>
      <c r="AA1022" s="6">
        <f>+Y1022</f>
        <v>7.1299999999999883</v>
      </c>
      <c r="AB1022" s="2"/>
      <c r="AC1022" s="3"/>
      <c r="AD1022" s="2"/>
      <c r="AE1022" s="2"/>
      <c r="AF1022" s="2"/>
      <c r="AG1022" s="2"/>
      <c r="AH1022" s="2" t="s">
        <v>2189</v>
      </c>
      <c r="AI1022" s="2" t="s">
        <v>2188</v>
      </c>
      <c r="AJ1022" s="2"/>
      <c r="AK1022" s="2"/>
      <c r="AL1022" s="2"/>
      <c r="AM1022" s="2"/>
      <c r="AN1022" s="2"/>
      <c r="AO1022" s="2" t="s">
        <v>2282</v>
      </c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</row>
    <row r="1023" spans="2:58">
      <c r="C1023" s="1">
        <v>43931</v>
      </c>
      <c r="E1023" s="2" t="s">
        <v>1728</v>
      </c>
      <c r="F1023" s="2"/>
      <c r="G1023" s="2" t="s">
        <v>2182</v>
      </c>
      <c r="H1023" s="2" t="s">
        <v>2183</v>
      </c>
      <c r="I1023" s="2"/>
      <c r="J1023" s="2">
        <v>1</v>
      </c>
      <c r="K1023" s="2"/>
      <c r="L1023" s="3">
        <v>83.5</v>
      </c>
      <c r="M1023" s="3">
        <v>8.35</v>
      </c>
      <c r="N1023" s="3">
        <v>4.3499999999999996</v>
      </c>
      <c r="O1023" s="3">
        <f>8.56</f>
        <v>8.56</v>
      </c>
      <c r="P1023" s="3">
        <f>8.56-8.56</f>
        <v>0</v>
      </c>
      <c r="Q1023" s="6">
        <f t="shared" si="2165"/>
        <v>70.800000000000011</v>
      </c>
      <c r="R1023" s="3"/>
      <c r="S1023" s="3">
        <v>65.19</v>
      </c>
      <c r="T1023" s="3">
        <v>6.19</v>
      </c>
      <c r="U1023" s="3"/>
      <c r="V1023" s="3"/>
      <c r="W1023" s="3">
        <v>7.13</v>
      </c>
      <c r="X1023" s="2">
        <f t="shared" ref="X1023:X1025" si="2230">+S1023+T1023++U1023+V1023-W1023</f>
        <v>64.25</v>
      </c>
      <c r="Y1023" s="6">
        <f t="shared" ref="Y1023:Y1025" si="2231">+Q1023-X1023</f>
        <v>6.5500000000000114</v>
      </c>
      <c r="Z1023" s="2"/>
      <c r="AA1023" s="6">
        <f>+Y1023</f>
        <v>6.5500000000000114</v>
      </c>
      <c r="AB1023" s="2"/>
      <c r="AC1023" s="3"/>
      <c r="AD1023" s="2"/>
      <c r="AE1023" s="2"/>
      <c r="AF1023" s="2"/>
      <c r="AG1023" s="2"/>
      <c r="AH1023" s="2" t="s">
        <v>2185</v>
      </c>
      <c r="AI1023" s="2" t="s">
        <v>2184</v>
      </c>
      <c r="AJ1023" s="2"/>
      <c r="AK1023" s="2"/>
      <c r="AL1023" s="2"/>
      <c r="AM1023" s="2"/>
      <c r="AN1023" s="2"/>
      <c r="AO1023" s="16" t="s">
        <v>2281</v>
      </c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</row>
    <row r="1024" spans="2:58">
      <c r="C1024" s="1">
        <v>43931</v>
      </c>
      <c r="E1024" s="2" t="s">
        <v>2104</v>
      </c>
      <c r="F1024" s="2"/>
      <c r="G1024" s="2" t="s">
        <v>2190</v>
      </c>
      <c r="H1024" s="2" t="s">
        <v>2211</v>
      </c>
      <c r="I1024" s="2"/>
      <c r="J1024" s="2">
        <v>1</v>
      </c>
      <c r="K1024" s="2"/>
      <c r="L1024" s="3">
        <v>31.5</v>
      </c>
      <c r="M1024" s="3">
        <v>3.15</v>
      </c>
      <c r="N1024" s="3">
        <v>1.76</v>
      </c>
      <c r="O1024" s="3">
        <f>1.73</f>
        <v>1.73</v>
      </c>
      <c r="P1024" s="3">
        <f>1.73-1.73</f>
        <v>0</v>
      </c>
      <c r="Q1024" s="6">
        <f t="shared" si="2165"/>
        <v>26.59</v>
      </c>
      <c r="R1024" s="3"/>
      <c r="S1024" s="3">
        <v>16.95</v>
      </c>
      <c r="T1024" s="3">
        <v>0.93</v>
      </c>
      <c r="U1024" s="3">
        <v>5</v>
      </c>
      <c r="V1024" s="3"/>
      <c r="W1024" s="3"/>
      <c r="X1024" s="2">
        <f t="shared" ref="X1024" si="2232">+S1024+T1024++U1024+V1024-W1024</f>
        <v>22.88</v>
      </c>
      <c r="Y1024" s="6">
        <f t="shared" ref="Y1024" si="2233">+Q1024-X1024</f>
        <v>3.7100000000000009</v>
      </c>
      <c r="Z1024" s="2"/>
      <c r="AA1024" s="2"/>
      <c r="AB1024" s="2"/>
      <c r="AC1024" s="3"/>
      <c r="AD1024" s="2"/>
      <c r="AE1024" s="2"/>
      <c r="AF1024" s="2"/>
      <c r="AG1024" s="2"/>
      <c r="AH1024" s="2" t="s">
        <v>2185</v>
      </c>
      <c r="AI1024" s="2" t="s">
        <v>2184</v>
      </c>
      <c r="AJ1024" s="2"/>
      <c r="AK1024" s="2"/>
      <c r="AL1024" s="2"/>
      <c r="AM1024" s="2"/>
      <c r="AN1024" s="2"/>
      <c r="AO1024" s="2" t="s">
        <v>2210</v>
      </c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</row>
    <row r="1025" spans="3:58">
      <c r="C1025" s="1">
        <v>43930</v>
      </c>
      <c r="E1025" s="2" t="s">
        <v>2171</v>
      </c>
      <c r="F1025" s="2"/>
      <c r="G1025" s="2" t="s">
        <v>2174</v>
      </c>
      <c r="H1025" s="2" t="s">
        <v>2175</v>
      </c>
      <c r="I1025" s="2"/>
      <c r="J1025" s="2">
        <v>1</v>
      </c>
      <c r="K1025" s="2"/>
      <c r="L1025" s="3">
        <v>83.5</v>
      </c>
      <c r="M1025" s="3">
        <v>8.35</v>
      </c>
      <c r="N1025" s="3">
        <v>3.97</v>
      </c>
      <c r="O1025" s="3"/>
      <c r="P1025" s="3"/>
      <c r="Q1025" s="6">
        <f t="shared" si="2165"/>
        <v>71.180000000000007</v>
      </c>
      <c r="R1025" s="3"/>
      <c r="S1025" s="3">
        <v>65.19</v>
      </c>
      <c r="T1025" s="3"/>
      <c r="U1025" s="3"/>
      <c r="V1025" s="3"/>
      <c r="W1025" s="3">
        <v>6.51</v>
      </c>
      <c r="X1025" s="2">
        <f t="shared" si="2230"/>
        <v>58.68</v>
      </c>
      <c r="Y1025" s="6">
        <f t="shared" si="2231"/>
        <v>12.500000000000007</v>
      </c>
      <c r="Z1025" s="2"/>
      <c r="AA1025" s="6">
        <f>+Y1025</f>
        <v>12.500000000000007</v>
      </c>
      <c r="AB1025" s="2"/>
      <c r="AC1025" s="3"/>
      <c r="AD1025" s="2"/>
      <c r="AE1025" s="2"/>
      <c r="AF1025" s="2"/>
      <c r="AG1025" s="2"/>
      <c r="AH1025" s="2" t="s">
        <v>2179</v>
      </c>
      <c r="AI1025" s="2" t="s">
        <v>2178</v>
      </c>
      <c r="AJ1025" s="2"/>
      <c r="AK1025" s="2"/>
      <c r="AL1025" s="2"/>
      <c r="AM1025" s="2"/>
      <c r="AN1025" s="2"/>
      <c r="AO1025" s="16" t="s">
        <v>2279</v>
      </c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</row>
    <row r="1026" spans="3:58">
      <c r="C1026" s="1">
        <v>43930</v>
      </c>
      <c r="E1026" s="2" t="s">
        <v>2024</v>
      </c>
      <c r="F1026" s="2"/>
      <c r="G1026" s="2" t="s">
        <v>2172</v>
      </c>
      <c r="H1026" s="2" t="s">
        <v>2173</v>
      </c>
      <c r="I1026" s="2"/>
      <c r="J1026" s="2">
        <v>1</v>
      </c>
      <c r="K1026" s="2"/>
      <c r="L1026" s="3">
        <v>52.85</v>
      </c>
      <c r="M1026" s="3">
        <v>5.28</v>
      </c>
      <c r="N1026" s="3">
        <v>2.82</v>
      </c>
      <c r="O1026" s="3">
        <f>4.36</f>
        <v>4.3600000000000003</v>
      </c>
      <c r="P1026" s="3">
        <f>4.36-4.36</f>
        <v>0</v>
      </c>
      <c r="Q1026" s="6">
        <f t="shared" si="2165"/>
        <v>44.75</v>
      </c>
      <c r="R1026" s="3"/>
      <c r="S1026" s="3">
        <v>36.99</v>
      </c>
      <c r="T1026" s="3">
        <v>3.05</v>
      </c>
      <c r="U1026" s="3"/>
      <c r="V1026" s="3"/>
      <c r="W1026" s="3"/>
      <c r="X1026" s="2">
        <f t="shared" ref="X1026" si="2234">+S1026+T1026++U1026+V1026-W1026</f>
        <v>40.04</v>
      </c>
      <c r="Y1026" s="6">
        <f t="shared" ref="Y1026" si="2235">+Q1026-X1026</f>
        <v>4.7100000000000009</v>
      </c>
      <c r="Z1026" s="6">
        <f>+Y1026</f>
        <v>4.7100000000000009</v>
      </c>
      <c r="AA1026" s="2"/>
      <c r="AB1026" s="2"/>
      <c r="AC1026" s="3"/>
      <c r="AD1026" s="2"/>
      <c r="AE1026" s="2"/>
      <c r="AF1026" s="2"/>
      <c r="AG1026" s="2"/>
      <c r="AH1026" s="2" t="s">
        <v>2177</v>
      </c>
      <c r="AI1026" s="2" t="s">
        <v>2176</v>
      </c>
      <c r="AJ1026" s="2"/>
      <c r="AK1026" s="2"/>
      <c r="AL1026" s="2"/>
      <c r="AM1026" s="2"/>
      <c r="AN1026" s="2"/>
      <c r="AO1026" s="16" t="s">
        <v>2207</v>
      </c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</row>
    <row r="1027" spans="3:58">
      <c r="C1027" s="1">
        <v>43930</v>
      </c>
      <c r="E1027" s="2" t="s">
        <v>1952</v>
      </c>
      <c r="F1027" s="2"/>
      <c r="G1027" s="2" t="s">
        <v>2162</v>
      </c>
      <c r="H1027" s="2" t="s">
        <v>2163</v>
      </c>
      <c r="I1027" s="2"/>
      <c r="J1027" s="2">
        <v>1</v>
      </c>
      <c r="K1027" s="2"/>
      <c r="L1027" s="3">
        <v>18</v>
      </c>
      <c r="M1027" s="3">
        <v>1.8</v>
      </c>
      <c r="N1027" s="3">
        <v>1.1599999999999999</v>
      </c>
      <c r="O1027" s="3">
        <f>1.44</f>
        <v>1.44</v>
      </c>
      <c r="P1027" s="3">
        <f>1.44-1.44</f>
        <v>0</v>
      </c>
      <c r="Q1027" s="6">
        <f t="shared" si="2165"/>
        <v>15.04</v>
      </c>
      <c r="R1027" s="3"/>
      <c r="S1027" s="3">
        <v>12.33</v>
      </c>
      <c r="T1027" s="3">
        <v>0.99</v>
      </c>
      <c r="U1027" s="3"/>
      <c r="V1027" s="3"/>
      <c r="W1027" s="3"/>
      <c r="X1027" s="2">
        <f t="shared" ref="X1027" si="2236">+S1027+T1027++U1027+V1027-W1027</f>
        <v>13.32</v>
      </c>
      <c r="Y1027" s="6">
        <f t="shared" ref="Y1027" si="2237">+Q1027-X1027</f>
        <v>1.7199999999999989</v>
      </c>
      <c r="Z1027" s="2"/>
      <c r="AA1027" s="2"/>
      <c r="AB1027" s="2"/>
      <c r="AC1027" s="3"/>
      <c r="AD1027" s="2"/>
      <c r="AE1027" s="2"/>
      <c r="AF1027" s="2"/>
      <c r="AG1027" s="2"/>
      <c r="AH1027" s="2" t="s">
        <v>2165</v>
      </c>
      <c r="AI1027" s="2" t="s">
        <v>2164</v>
      </c>
      <c r="AJ1027" s="2"/>
      <c r="AK1027" s="2"/>
      <c r="AL1027" s="2"/>
      <c r="AM1027" s="2"/>
      <c r="AN1027" s="2"/>
      <c r="AO1027" s="2" t="s">
        <v>2181</v>
      </c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</row>
    <row r="1028" spans="3:58">
      <c r="C1028" s="1">
        <v>43930</v>
      </c>
      <c r="E1028" s="2" t="s">
        <v>2024</v>
      </c>
      <c r="F1028" s="2"/>
      <c r="G1028" s="2" t="s">
        <v>2160</v>
      </c>
      <c r="H1028" s="2" t="s">
        <v>2161</v>
      </c>
      <c r="I1028" s="2"/>
      <c r="J1028" s="2">
        <v>1</v>
      </c>
      <c r="K1028" s="2"/>
      <c r="L1028" s="3">
        <v>52.85</v>
      </c>
      <c r="M1028" s="3">
        <v>5.28</v>
      </c>
      <c r="N1028" s="3">
        <v>2.86</v>
      </c>
      <c r="O1028" s="3"/>
      <c r="P1028" s="3">
        <v>5.29</v>
      </c>
      <c r="Q1028" s="6">
        <f t="shared" si="2165"/>
        <v>50</v>
      </c>
      <c r="R1028" s="3"/>
      <c r="S1028" s="3">
        <v>36.99</v>
      </c>
      <c r="T1028" s="3">
        <v>3.4</v>
      </c>
      <c r="U1028" s="3"/>
      <c r="V1028" s="3"/>
      <c r="W1028" s="3"/>
      <c r="X1028" s="2">
        <f t="shared" ref="X1028" si="2238">+S1028+T1028++U1028+V1028-W1028</f>
        <v>40.39</v>
      </c>
      <c r="Y1028" s="6">
        <f t="shared" ref="Y1028" si="2239">+Q1028-X1028</f>
        <v>9.61</v>
      </c>
      <c r="Z1028" s="6">
        <f>+Y1028</f>
        <v>9.61</v>
      </c>
      <c r="AA1028" s="2"/>
      <c r="AB1028" s="2"/>
      <c r="AC1028" s="3"/>
      <c r="AD1028" s="2"/>
      <c r="AE1028" s="2"/>
      <c r="AF1028" s="2"/>
      <c r="AG1028" s="2"/>
      <c r="AH1028" s="2" t="s">
        <v>2167</v>
      </c>
      <c r="AI1028" s="2" t="s">
        <v>2166</v>
      </c>
      <c r="AJ1028" s="2"/>
      <c r="AK1028" s="2"/>
      <c r="AL1028" s="2"/>
      <c r="AM1028" s="2"/>
      <c r="AN1028" s="2"/>
      <c r="AO1028" s="16" t="s">
        <v>2208</v>
      </c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</row>
    <row r="1029" spans="3:58">
      <c r="C1029" s="1">
        <v>43930</v>
      </c>
      <c r="E1029" s="2" t="s">
        <v>2085</v>
      </c>
      <c r="F1029" s="2"/>
      <c r="G1029" s="2" t="s">
        <v>2154</v>
      </c>
      <c r="H1029" s="2" t="s">
        <v>2155</v>
      </c>
      <c r="I1029" s="2"/>
      <c r="J1029" s="2">
        <v>1</v>
      </c>
      <c r="K1029" s="2"/>
      <c r="L1029" s="3">
        <v>55.5</v>
      </c>
      <c r="M1029" s="3">
        <v>5.55</v>
      </c>
      <c r="N1029" s="3">
        <v>2.92</v>
      </c>
      <c r="O1029" s="3">
        <f>4.02</f>
        <v>4.0199999999999996</v>
      </c>
      <c r="P1029" s="3">
        <f>4.02-4.02</f>
        <v>0</v>
      </c>
      <c r="Q1029" s="6">
        <f t="shared" si="2165"/>
        <v>47.03</v>
      </c>
      <c r="R1029" s="3"/>
      <c r="S1029" s="3">
        <v>35.979999999999997</v>
      </c>
      <c r="T1029" s="3">
        <v>2.6</v>
      </c>
      <c r="U1029" s="3"/>
      <c r="V1029" s="3"/>
      <c r="W1029" s="3"/>
      <c r="X1029" s="2">
        <f t="shared" ref="X1029:X1030" si="2240">+S1029+T1029++U1029+V1029-W1029</f>
        <v>38.58</v>
      </c>
      <c r="Y1029" s="6">
        <f t="shared" ref="Y1029:Y1030" si="2241">+Q1029-X1029</f>
        <v>8.4500000000000028</v>
      </c>
      <c r="Z1029" s="2"/>
      <c r="AA1029" s="2"/>
      <c r="AB1029" s="2"/>
      <c r="AC1029" s="3"/>
      <c r="AD1029" s="2"/>
      <c r="AE1029" s="2"/>
      <c r="AF1029" s="2"/>
      <c r="AG1029" s="2"/>
      <c r="AH1029" s="2" t="s">
        <v>2156</v>
      </c>
      <c r="AI1029" s="2" t="s">
        <v>2157</v>
      </c>
      <c r="AJ1029" s="2"/>
      <c r="AK1029" s="2"/>
      <c r="AL1029" s="2"/>
      <c r="AM1029" s="2"/>
      <c r="AN1029" s="2"/>
      <c r="AO1029" s="16" t="s">
        <v>2195</v>
      </c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</row>
    <row r="1030" spans="3:58">
      <c r="C1030" s="1">
        <v>43930</v>
      </c>
      <c r="E1030" s="2" t="s">
        <v>2197</v>
      </c>
      <c r="F1030" s="2"/>
      <c r="G1030" s="2" t="s">
        <v>2152</v>
      </c>
      <c r="H1030" s="2" t="s">
        <v>2153</v>
      </c>
      <c r="I1030" s="2"/>
      <c r="J1030" s="2">
        <v>1</v>
      </c>
      <c r="K1030" s="2"/>
      <c r="L1030" s="3">
        <v>22.5</v>
      </c>
      <c r="M1030" s="3">
        <v>2.25</v>
      </c>
      <c r="N1030" s="3">
        <v>1.32</v>
      </c>
      <c r="O1030" s="3">
        <f>0.65</f>
        <v>0.65</v>
      </c>
      <c r="P1030" s="3">
        <f>0.65-0.65</f>
        <v>0</v>
      </c>
      <c r="Q1030" s="6">
        <f t="shared" si="2165"/>
        <v>18.93</v>
      </c>
      <c r="R1030" s="3"/>
      <c r="S1030" s="3">
        <v>24.95</v>
      </c>
      <c r="T1030" s="3">
        <v>0.72</v>
      </c>
      <c r="U1030" s="3"/>
      <c r="V1030" s="3"/>
      <c r="W1030" s="3"/>
      <c r="X1030" s="3">
        <f t="shared" si="2240"/>
        <v>25.669999999999998</v>
      </c>
      <c r="Y1030" s="3">
        <f t="shared" si="2241"/>
        <v>-6.7399999999999984</v>
      </c>
      <c r="Z1030" s="2"/>
      <c r="AA1030" s="2"/>
      <c r="AB1030" s="2"/>
      <c r="AC1030" s="3"/>
      <c r="AD1030" s="2"/>
      <c r="AE1030" s="2"/>
      <c r="AF1030" s="2"/>
      <c r="AG1030" s="2"/>
      <c r="AH1030" s="2" t="s">
        <v>2159</v>
      </c>
      <c r="AI1030" s="2" t="s">
        <v>2158</v>
      </c>
      <c r="AJ1030" s="2"/>
      <c r="AK1030" s="2"/>
      <c r="AL1030" s="2"/>
      <c r="AM1030" s="2"/>
      <c r="AN1030" s="2"/>
      <c r="AO1030" s="2" t="s">
        <v>2198</v>
      </c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</row>
    <row r="1031" spans="3:58">
      <c r="C1031" s="1">
        <v>43929</v>
      </c>
      <c r="E1031" s="2" t="s">
        <v>1952</v>
      </c>
      <c r="F1031" s="2"/>
      <c r="G1031" s="2" t="s">
        <v>2145</v>
      </c>
      <c r="H1031" s="2" t="s">
        <v>2146</v>
      </c>
      <c r="I1031" s="2"/>
      <c r="J1031" s="2">
        <v>1</v>
      </c>
      <c r="K1031" s="2"/>
      <c r="L1031" s="3">
        <v>18</v>
      </c>
      <c r="M1031" s="3">
        <v>1.8</v>
      </c>
      <c r="N1031" s="3">
        <v>1.1399999999999999</v>
      </c>
      <c r="O1031" s="3">
        <f>1.08</f>
        <v>1.08</v>
      </c>
      <c r="P1031" s="3">
        <f>1.08-1.08</f>
        <v>0</v>
      </c>
      <c r="Q1031" s="6">
        <f t="shared" si="2165"/>
        <v>15.059999999999999</v>
      </c>
      <c r="R1031" s="3"/>
      <c r="S1031" s="3">
        <v>12.33</v>
      </c>
      <c r="T1031" s="3">
        <v>0.74</v>
      </c>
      <c r="U1031" s="3"/>
      <c r="V1031" s="3"/>
      <c r="W1031" s="3">
        <v>0</v>
      </c>
      <c r="X1031" s="2">
        <f t="shared" ref="X1031" si="2242">+S1031+T1031++U1031+V1031-W1031</f>
        <v>13.07</v>
      </c>
      <c r="Y1031" s="6">
        <f t="shared" ref="Y1031" si="2243">+Q1031-X1031</f>
        <v>1.9899999999999984</v>
      </c>
      <c r="Z1031" s="2"/>
      <c r="AA1031" s="2"/>
      <c r="AB1031" s="2"/>
      <c r="AC1031" s="3"/>
      <c r="AD1031" s="2"/>
      <c r="AE1031" s="2"/>
      <c r="AF1031" s="2"/>
      <c r="AG1031" s="2"/>
      <c r="AH1031" s="2" t="s">
        <v>2148</v>
      </c>
      <c r="AI1031" s="2" t="s">
        <v>2147</v>
      </c>
      <c r="AJ1031" s="2"/>
      <c r="AK1031" s="2"/>
      <c r="AL1031" s="2"/>
      <c r="AM1031" s="2"/>
      <c r="AN1031" s="2"/>
      <c r="AO1031" s="2" t="s">
        <v>2180</v>
      </c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</row>
    <row r="1032" spans="3:58">
      <c r="C1032" s="1">
        <v>43929</v>
      </c>
      <c r="E1032" s="2" t="s">
        <v>1777</v>
      </c>
      <c r="F1032" s="2"/>
      <c r="G1032" s="2" t="s">
        <v>2141</v>
      </c>
      <c r="H1032" s="2" t="s">
        <v>2142</v>
      </c>
      <c r="I1032" s="2"/>
      <c r="J1032" s="2">
        <v>1</v>
      </c>
      <c r="K1032" s="2"/>
      <c r="L1032" s="3">
        <v>83.5</v>
      </c>
      <c r="M1032" s="3">
        <v>8.35</v>
      </c>
      <c r="N1032" s="3">
        <v>3.97</v>
      </c>
      <c r="O1032" s="3"/>
      <c r="P1032" s="3"/>
      <c r="Q1032" s="6">
        <f t="shared" si="2165"/>
        <v>71.180000000000007</v>
      </c>
      <c r="R1032" s="3"/>
      <c r="S1032" s="3">
        <v>65.19</v>
      </c>
      <c r="T1032" s="3"/>
      <c r="U1032" s="3"/>
      <c r="V1032" s="3"/>
      <c r="W1032" s="3">
        <v>6.51</v>
      </c>
      <c r="X1032" s="2">
        <f t="shared" ref="X1032" si="2244">+S1032+T1032++U1032+V1032-W1032</f>
        <v>58.68</v>
      </c>
      <c r="Y1032" s="6">
        <f t="shared" ref="Y1032" si="2245">+Q1032-X1032</f>
        <v>12.500000000000007</v>
      </c>
      <c r="Z1032" s="2"/>
      <c r="AA1032" s="2"/>
      <c r="AB1032" s="2"/>
      <c r="AC1032" s="3"/>
      <c r="AD1032" s="2"/>
      <c r="AE1032" s="2"/>
      <c r="AF1032" s="2"/>
      <c r="AG1032" s="2"/>
      <c r="AH1032" s="2" t="s">
        <v>2144</v>
      </c>
      <c r="AI1032" s="2" t="s">
        <v>2143</v>
      </c>
      <c r="AJ1032" s="2"/>
      <c r="AK1032" s="2"/>
      <c r="AL1032" s="2"/>
      <c r="AM1032" s="2"/>
      <c r="AN1032" s="2"/>
      <c r="AO1032" s="16" t="s">
        <v>2280</v>
      </c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</row>
    <row r="1033" spans="3:58">
      <c r="C1033" s="1">
        <v>43929</v>
      </c>
      <c r="E1033" s="2" t="s">
        <v>1884</v>
      </c>
      <c r="F1033" s="2"/>
      <c r="G1033" s="2" t="s">
        <v>2137</v>
      </c>
      <c r="H1033" s="2" t="s">
        <v>2138</v>
      </c>
      <c r="I1033" s="2"/>
      <c r="J1033" s="2">
        <v>1</v>
      </c>
      <c r="K1033" s="2"/>
      <c r="L1033" s="3">
        <v>20</v>
      </c>
      <c r="M1033" s="3">
        <v>2</v>
      </c>
      <c r="N1033" s="3">
        <v>1.18</v>
      </c>
      <c r="O1033" s="3"/>
      <c r="P1033" s="3"/>
      <c r="Q1033" s="6">
        <f t="shared" si="2165"/>
        <v>16.82</v>
      </c>
      <c r="R1033" s="3"/>
      <c r="S1033" s="3">
        <v>12.99</v>
      </c>
      <c r="T1033" s="3"/>
      <c r="U1033" s="3"/>
      <c r="V1033" s="3"/>
      <c r="W1033" s="3"/>
      <c r="X1033" s="2">
        <f t="shared" ref="X1033" si="2246">+S1033+T1033++U1033+V1033-W1033</f>
        <v>12.99</v>
      </c>
      <c r="Y1033" s="6">
        <f t="shared" ref="Y1033" si="2247">+Q1033-X1033</f>
        <v>3.83</v>
      </c>
      <c r="Z1033" s="2"/>
      <c r="AA1033" s="2"/>
      <c r="AB1033" s="2"/>
      <c r="AC1033" s="3"/>
      <c r="AD1033" s="2"/>
      <c r="AE1033" s="2"/>
      <c r="AF1033" s="2"/>
      <c r="AG1033" s="2"/>
      <c r="AH1033" s="2" t="s">
        <v>2144</v>
      </c>
      <c r="AI1033" s="2" t="s">
        <v>2143</v>
      </c>
      <c r="AJ1033" s="2"/>
      <c r="AK1033" s="2"/>
      <c r="AL1033" s="2"/>
      <c r="AM1033" s="2"/>
      <c r="AN1033" s="2"/>
      <c r="AO1033" s="2" t="s">
        <v>2790</v>
      </c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</row>
    <row r="1034" spans="3:58">
      <c r="C1034" s="1">
        <v>43929</v>
      </c>
      <c r="E1034" s="2" t="s">
        <v>1305</v>
      </c>
      <c r="F1034" s="2"/>
      <c r="G1034" s="2" t="s">
        <v>2126</v>
      </c>
      <c r="H1034" s="2" t="s">
        <v>2127</v>
      </c>
      <c r="I1034" s="2"/>
      <c r="J1034" s="2">
        <v>1</v>
      </c>
      <c r="K1034" s="2"/>
      <c r="L1034" s="3">
        <v>26.6</v>
      </c>
      <c r="M1034" s="3">
        <v>2.66</v>
      </c>
      <c r="N1034" s="3">
        <v>1.56</v>
      </c>
      <c r="O1034" s="3">
        <f>2</f>
        <v>2</v>
      </c>
      <c r="P1034" s="3">
        <f>2-2</f>
        <v>0</v>
      </c>
      <c r="Q1034" s="6">
        <f t="shared" si="2165"/>
        <v>22.380000000000003</v>
      </c>
      <c r="R1034" s="3"/>
      <c r="S1034" s="3">
        <v>17.64</v>
      </c>
      <c r="T1034" s="3">
        <v>0</v>
      </c>
      <c r="U1034" s="3"/>
      <c r="V1034" s="3"/>
      <c r="W1034" s="3"/>
      <c r="X1034" s="2">
        <f t="shared" ref="X1034" si="2248">+S1034+T1034++U1034+V1034-W1034</f>
        <v>17.64</v>
      </c>
      <c r="Y1034" s="6">
        <f t="shared" ref="Y1034" si="2249">+Q1034-X1034</f>
        <v>4.740000000000002</v>
      </c>
      <c r="Z1034" s="2"/>
      <c r="AA1034" s="2"/>
      <c r="AB1034" s="2"/>
      <c r="AC1034" s="3"/>
      <c r="AD1034" s="2"/>
      <c r="AE1034" s="2"/>
      <c r="AF1034" s="2"/>
      <c r="AG1034" s="2"/>
      <c r="AH1034" s="2" t="s">
        <v>2140</v>
      </c>
      <c r="AI1034" s="2" t="s">
        <v>2139</v>
      </c>
      <c r="AJ1034" s="2"/>
      <c r="AK1034" s="2"/>
      <c r="AL1034" s="2"/>
      <c r="AM1034" s="2"/>
      <c r="AN1034" s="2"/>
      <c r="AO1034" s="16" t="s">
        <v>2151</v>
      </c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</row>
    <row r="1035" spans="3:58">
      <c r="C1035" s="1">
        <v>43929</v>
      </c>
      <c r="E1035" s="2" t="s">
        <v>2024</v>
      </c>
      <c r="F1035" s="2"/>
      <c r="G1035" s="2" t="s">
        <v>2124</v>
      </c>
      <c r="H1035" s="2" t="s">
        <v>2125</v>
      </c>
      <c r="I1035" s="2"/>
      <c r="J1035" s="2">
        <v>1</v>
      </c>
      <c r="K1035" s="2"/>
      <c r="L1035" s="3">
        <v>51.86</v>
      </c>
      <c r="M1035" s="3">
        <v>5.18</v>
      </c>
      <c r="N1035" s="3">
        <v>2.74</v>
      </c>
      <c r="O1035" s="3"/>
      <c r="P1035" s="3">
        <v>5.19</v>
      </c>
      <c r="Q1035" s="6">
        <f t="shared" si="2165"/>
        <v>49.129999999999995</v>
      </c>
      <c r="R1035" s="3"/>
      <c r="S1035" s="3">
        <v>36.99</v>
      </c>
      <c r="T1035" s="3">
        <v>3.4</v>
      </c>
      <c r="U1035" s="3"/>
      <c r="V1035" s="3"/>
      <c r="W1035" s="3"/>
      <c r="X1035" s="2">
        <f t="shared" ref="X1035" si="2250">+S1035+T1035++U1035+V1035-W1035</f>
        <v>40.39</v>
      </c>
      <c r="Y1035" s="6">
        <f t="shared" ref="Y1035" si="2251">+Q1035-X1035</f>
        <v>8.7399999999999949</v>
      </c>
      <c r="Z1035" s="6">
        <f>+Y1035</f>
        <v>8.7399999999999949</v>
      </c>
      <c r="AA1035" s="2"/>
      <c r="AB1035" s="2"/>
      <c r="AC1035" s="3"/>
      <c r="AD1035" s="2"/>
      <c r="AE1035" s="2"/>
      <c r="AF1035" s="2"/>
      <c r="AG1035" s="2"/>
      <c r="AH1035" s="2" t="s">
        <v>2135</v>
      </c>
      <c r="AI1035" s="2" t="s">
        <v>2134</v>
      </c>
      <c r="AJ1035" s="2"/>
      <c r="AK1035" s="2"/>
      <c r="AL1035" s="2"/>
      <c r="AM1035" s="2"/>
      <c r="AN1035" s="2"/>
      <c r="AO1035" s="16" t="s">
        <v>2150</v>
      </c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</row>
    <row r="1036" spans="3:58">
      <c r="C1036" s="1">
        <v>43929</v>
      </c>
      <c r="E1036" s="2" t="s">
        <v>2024</v>
      </c>
      <c r="F1036" s="2"/>
      <c r="G1036" s="2" t="s">
        <v>2122</v>
      </c>
      <c r="H1036" s="2" t="s">
        <v>2123</v>
      </c>
      <c r="I1036" s="2"/>
      <c r="J1036" s="2">
        <v>1</v>
      </c>
      <c r="K1036" s="2"/>
      <c r="L1036" s="3">
        <v>51.86</v>
      </c>
      <c r="M1036" s="3">
        <v>5.18</v>
      </c>
      <c r="N1036" s="3">
        <v>2.74</v>
      </c>
      <c r="O1036" s="3">
        <f>3.63</f>
        <v>3.63</v>
      </c>
      <c r="P1036" s="3">
        <f>3.63-3.63</f>
        <v>0</v>
      </c>
      <c r="Q1036" s="6">
        <f t="shared" si="2165"/>
        <v>43.94</v>
      </c>
      <c r="R1036" s="3"/>
      <c r="S1036" s="3">
        <v>36.99</v>
      </c>
      <c r="T1036" s="3">
        <v>2.59</v>
      </c>
      <c r="U1036" s="3"/>
      <c r="V1036" s="3"/>
      <c r="W1036" s="3"/>
      <c r="X1036" s="2">
        <f t="shared" ref="X1036" si="2252">+S1036+T1036++U1036+V1036-W1036</f>
        <v>39.58</v>
      </c>
      <c r="Y1036" s="6">
        <f t="shared" ref="Y1036" si="2253">+Q1036-X1036</f>
        <v>4.3599999999999994</v>
      </c>
      <c r="Z1036" s="6">
        <f>+Y1036</f>
        <v>4.3599999999999994</v>
      </c>
      <c r="AA1036" s="2"/>
      <c r="AB1036" s="2"/>
      <c r="AC1036" s="3"/>
      <c r="AD1036" s="2"/>
      <c r="AE1036" s="2"/>
      <c r="AF1036" s="2"/>
      <c r="AG1036" s="2"/>
      <c r="AH1036" s="2" t="s">
        <v>2133</v>
      </c>
      <c r="AI1036" s="2" t="s">
        <v>2132</v>
      </c>
      <c r="AJ1036" s="2"/>
      <c r="AK1036" s="2"/>
      <c r="AL1036" s="2"/>
      <c r="AM1036" s="2"/>
      <c r="AN1036" s="2"/>
      <c r="AO1036" s="16" t="s">
        <v>2149</v>
      </c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</row>
    <row r="1037" spans="3:58">
      <c r="C1037" s="1">
        <v>43928</v>
      </c>
      <c r="E1037" s="2" t="s">
        <v>2045</v>
      </c>
      <c r="F1037" s="2"/>
      <c r="G1037" s="2" t="s">
        <v>2119</v>
      </c>
      <c r="H1037" s="2" t="s">
        <v>2120</v>
      </c>
      <c r="I1037" s="2"/>
      <c r="J1037" s="2">
        <v>1</v>
      </c>
      <c r="K1037" s="2"/>
      <c r="L1037" s="3">
        <v>33.950000000000003</v>
      </c>
      <c r="M1037" s="3">
        <v>3.39</v>
      </c>
      <c r="N1037" s="3">
        <v>1.88</v>
      </c>
      <c r="O1037" s="3">
        <f>2.04</f>
        <v>2.04</v>
      </c>
      <c r="P1037" s="3">
        <f>2.04-2.04</f>
        <v>0</v>
      </c>
      <c r="Q1037" s="6">
        <f t="shared" si="2165"/>
        <v>28.680000000000003</v>
      </c>
      <c r="R1037" s="3"/>
      <c r="S1037" s="3">
        <v>23.99</v>
      </c>
      <c r="T1037" s="3">
        <v>1.92</v>
      </c>
      <c r="U1037" s="3"/>
      <c r="V1037" s="3"/>
      <c r="W1037" s="3"/>
      <c r="X1037" s="2">
        <f t="shared" ref="X1037" si="2254">+S1037+T1037++U1037+V1037-W1037</f>
        <v>25.909999999999997</v>
      </c>
      <c r="Y1037" s="6">
        <f t="shared" ref="Y1037" si="2255">+Q1037-X1037</f>
        <v>2.7700000000000067</v>
      </c>
      <c r="Z1037" s="2"/>
      <c r="AA1037" s="2"/>
      <c r="AB1037" s="2"/>
      <c r="AC1037" s="3"/>
      <c r="AD1037" s="2"/>
      <c r="AE1037" s="2"/>
      <c r="AF1037" s="2"/>
      <c r="AG1037" s="2"/>
      <c r="AH1037" s="2" t="s">
        <v>2117</v>
      </c>
      <c r="AI1037" s="2" t="s">
        <v>2118</v>
      </c>
      <c r="AJ1037" s="2"/>
      <c r="AK1037" s="2"/>
      <c r="AL1037" s="2"/>
      <c r="AM1037" s="2"/>
      <c r="AN1037" s="2"/>
      <c r="AO1037" s="16" t="s">
        <v>2121</v>
      </c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</row>
    <row r="1038" spans="3:58">
      <c r="C1038" s="1">
        <v>43928</v>
      </c>
      <c r="E1038" s="2" t="s">
        <v>1559</v>
      </c>
      <c r="F1038" s="2"/>
      <c r="G1038" s="2" t="s">
        <v>2111</v>
      </c>
      <c r="H1038" s="2" t="s">
        <v>2112</v>
      </c>
      <c r="I1038" s="2"/>
      <c r="J1038" s="2">
        <v>1</v>
      </c>
      <c r="K1038" s="2"/>
      <c r="L1038" s="3">
        <v>83.5</v>
      </c>
      <c r="M1038" s="3">
        <v>8.35</v>
      </c>
      <c r="N1038" s="3">
        <v>4.29</v>
      </c>
      <c r="O1038" s="3"/>
      <c r="P1038" s="3">
        <v>7.18</v>
      </c>
      <c r="Q1038" s="6">
        <f t="shared" si="2165"/>
        <v>78.039999999999992</v>
      </c>
      <c r="R1038" s="3"/>
      <c r="S1038" s="3">
        <v>65.19</v>
      </c>
      <c r="T1038" s="3"/>
      <c r="U1038" s="3"/>
      <c r="V1038" s="3"/>
      <c r="W1038" s="3">
        <v>6.99</v>
      </c>
      <c r="X1038" s="2">
        <f t="shared" ref="X1038" si="2256">+S1038+T1038++U1038+V1038-W1038</f>
        <v>58.199999999999996</v>
      </c>
      <c r="Y1038" s="6">
        <f t="shared" ref="Y1038" si="2257">+Q1038-X1038</f>
        <v>19.839999999999996</v>
      </c>
      <c r="Z1038" s="2"/>
      <c r="AA1038" s="6">
        <f>+Y1038</f>
        <v>19.839999999999996</v>
      </c>
      <c r="AB1038" s="2"/>
      <c r="AC1038" s="3"/>
      <c r="AD1038" s="2"/>
      <c r="AE1038" s="2"/>
      <c r="AF1038" s="2"/>
      <c r="AG1038" s="2"/>
      <c r="AH1038" s="2" t="s">
        <v>2113</v>
      </c>
      <c r="AI1038" s="2" t="s">
        <v>2114</v>
      </c>
      <c r="AJ1038" s="2"/>
      <c r="AK1038" s="2"/>
      <c r="AL1038" s="2"/>
      <c r="AM1038" s="2"/>
      <c r="AN1038" s="2"/>
      <c r="AO1038" s="16" t="s">
        <v>2136</v>
      </c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</row>
    <row r="1039" spans="3:58">
      <c r="C1039" s="1">
        <v>43927</v>
      </c>
      <c r="E1039" s="2" t="s">
        <v>2131</v>
      </c>
      <c r="F1039" s="2"/>
      <c r="G1039" s="2" t="s">
        <v>2105</v>
      </c>
      <c r="H1039" s="2" t="s">
        <v>2106</v>
      </c>
      <c r="I1039" s="2"/>
      <c r="J1039" s="2">
        <v>1</v>
      </c>
      <c r="K1039" s="2"/>
      <c r="L1039" s="3">
        <v>29.5</v>
      </c>
      <c r="M1039" s="3">
        <v>2.95</v>
      </c>
      <c r="N1039" s="3">
        <v>1.7</v>
      </c>
      <c r="O1039" s="3">
        <f>2.29</f>
        <v>2.29</v>
      </c>
      <c r="P1039" s="3">
        <f>2.29-2.29</f>
        <v>0</v>
      </c>
      <c r="Q1039" s="6">
        <f t="shared" si="2165"/>
        <v>24.85</v>
      </c>
      <c r="R1039" s="3"/>
      <c r="S1039" s="3">
        <v>16.95</v>
      </c>
      <c r="T1039" s="3">
        <v>1.3</v>
      </c>
      <c r="U1039" s="3">
        <v>5</v>
      </c>
      <c r="V1039" s="3"/>
      <c r="W1039" s="3"/>
      <c r="X1039" s="2">
        <f t="shared" ref="X1039" si="2258">+S1039+T1039++U1039+V1039-W1039</f>
        <v>23.25</v>
      </c>
      <c r="Y1039" s="6">
        <f t="shared" ref="Y1039" si="2259">+Q1039-X1039</f>
        <v>1.6000000000000014</v>
      </c>
      <c r="Z1039" s="2"/>
      <c r="AA1039" s="2"/>
      <c r="AB1039" s="2"/>
      <c r="AC1039" s="3"/>
      <c r="AD1039" s="2"/>
      <c r="AE1039" s="2"/>
      <c r="AF1039" s="2"/>
      <c r="AG1039" s="2"/>
      <c r="AH1039" s="2" t="s">
        <v>2130</v>
      </c>
      <c r="AI1039" s="2" t="s">
        <v>2129</v>
      </c>
      <c r="AJ1039" s="2"/>
      <c r="AK1039" s="2"/>
      <c r="AL1039" s="2"/>
      <c r="AM1039" s="2" t="s">
        <v>2128</v>
      </c>
      <c r="AN1039" s="2"/>
      <c r="AO1039" s="2" t="s">
        <v>2912</v>
      </c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</row>
    <row r="1040" spans="3:58">
      <c r="C1040" s="1">
        <v>43927</v>
      </c>
      <c r="E1040" s="2" t="s">
        <v>1922</v>
      </c>
      <c r="F1040" s="2"/>
      <c r="G1040" s="2" t="s">
        <v>2086</v>
      </c>
      <c r="H1040" s="5" t="s">
        <v>1827</v>
      </c>
      <c r="I1040" s="2"/>
      <c r="J1040" s="2">
        <v>0</v>
      </c>
      <c r="K1040" s="2"/>
      <c r="L1040" s="3">
        <v>0</v>
      </c>
      <c r="M1040" s="3">
        <v>0</v>
      </c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2"/>
      <c r="AA1040" s="2"/>
      <c r="AB1040" s="2"/>
      <c r="AC1040" s="3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5" t="s">
        <v>1827</v>
      </c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</row>
    <row r="1041" spans="3:58">
      <c r="C1041" s="1">
        <v>43927</v>
      </c>
      <c r="E1041" s="2" t="s">
        <v>2085</v>
      </c>
      <c r="F1041" s="2"/>
      <c r="G1041" s="2" t="s">
        <v>2089</v>
      </c>
      <c r="H1041" s="2" t="s">
        <v>2090</v>
      </c>
      <c r="I1041" s="2"/>
      <c r="J1041" s="2">
        <v>1</v>
      </c>
      <c r="K1041" s="2"/>
      <c r="L1041" s="3">
        <v>27.5</v>
      </c>
      <c r="M1041" s="3">
        <v>2.75</v>
      </c>
      <c r="N1041" s="3">
        <v>1.58</v>
      </c>
      <c r="O1041" s="3">
        <f>1.65</f>
        <v>1.65</v>
      </c>
      <c r="P1041" s="3">
        <f>1.65-1.65</f>
        <v>0</v>
      </c>
      <c r="Q1041" s="6">
        <f t="shared" si="2165"/>
        <v>23.17</v>
      </c>
      <c r="R1041" s="3"/>
      <c r="S1041" s="3">
        <v>17.989999999999998</v>
      </c>
      <c r="T1041" s="3"/>
      <c r="U1041" s="3"/>
      <c r="V1041" s="3"/>
      <c r="W1041" s="3"/>
      <c r="X1041" s="2">
        <f t="shared" ref="X1041" si="2260">+S1041+T1041++U1041+V1041-W1041</f>
        <v>17.989999999999998</v>
      </c>
      <c r="Y1041" s="6">
        <f t="shared" ref="Y1041" si="2261">+Q1041-X1041</f>
        <v>5.1800000000000033</v>
      </c>
      <c r="Z1041" s="2"/>
      <c r="AA1041" s="2"/>
      <c r="AB1041" s="2"/>
      <c r="AC1041" s="3"/>
      <c r="AD1041" s="2"/>
      <c r="AE1041" s="2"/>
      <c r="AF1041" s="2"/>
      <c r="AG1041" s="2"/>
      <c r="AH1041" s="2" t="s">
        <v>2092</v>
      </c>
      <c r="AI1041" s="2" t="s">
        <v>2091</v>
      </c>
      <c r="AJ1041" s="2"/>
      <c r="AK1041" s="2"/>
      <c r="AL1041" s="2"/>
      <c r="AM1041" s="2"/>
      <c r="AN1041" s="2"/>
      <c r="AO1041" s="16" t="s">
        <v>2116</v>
      </c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</row>
    <row r="1042" spans="3:58">
      <c r="C1042" s="1">
        <v>43927</v>
      </c>
      <c r="E1042" s="2" t="s">
        <v>1922</v>
      </c>
      <c r="F1042" s="2"/>
      <c r="G1042" s="2" t="s">
        <v>2087</v>
      </c>
      <c r="H1042" s="2" t="s">
        <v>2088</v>
      </c>
      <c r="I1042" s="2"/>
      <c r="J1042" s="2">
        <v>1</v>
      </c>
      <c r="K1042" s="2"/>
      <c r="L1042" s="3">
        <v>18.350000000000001</v>
      </c>
      <c r="M1042" s="3">
        <v>1.83</v>
      </c>
      <c r="N1042" s="3">
        <v>1.18</v>
      </c>
      <c r="O1042" s="3">
        <f>1.61</f>
        <v>1.61</v>
      </c>
      <c r="P1042" s="3">
        <f>1.61-1.61</f>
        <v>0</v>
      </c>
      <c r="Q1042" s="6">
        <f t="shared" si="2165"/>
        <v>15.340000000000003</v>
      </c>
      <c r="R1042" s="3"/>
      <c r="S1042" s="3">
        <v>14.89</v>
      </c>
      <c r="T1042" s="3">
        <v>1.3</v>
      </c>
      <c r="U1042" s="3"/>
      <c r="V1042" s="3"/>
      <c r="W1042" s="3"/>
      <c r="X1042" s="2">
        <f t="shared" ref="X1042" si="2262">+S1042+T1042++U1042+V1042-W1042</f>
        <v>16.190000000000001</v>
      </c>
      <c r="Y1042" s="6">
        <f t="shared" ref="Y1042" si="2263">+Q1042-X1042</f>
        <v>-0.84999999999999787</v>
      </c>
      <c r="Z1042" s="2"/>
      <c r="AA1042" s="2"/>
      <c r="AB1042" s="2"/>
      <c r="AC1042" s="3"/>
      <c r="AD1042" s="2"/>
      <c r="AE1042" s="2"/>
      <c r="AF1042" s="2"/>
      <c r="AG1042" s="2"/>
      <c r="AH1042" s="2" t="s">
        <v>2096</v>
      </c>
      <c r="AI1042" s="2" t="s">
        <v>2095</v>
      </c>
      <c r="AJ1042" s="2"/>
      <c r="AK1042" s="2"/>
      <c r="AL1042" s="2"/>
      <c r="AM1042" s="2"/>
      <c r="AN1042" s="2"/>
      <c r="AO1042" s="16" t="s">
        <v>2115</v>
      </c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</row>
    <row r="1043" spans="3:58">
      <c r="C1043" s="1">
        <v>43926</v>
      </c>
      <c r="E1043" s="2" t="s">
        <v>2078</v>
      </c>
      <c r="F1043" s="2"/>
      <c r="G1043" s="2" t="s">
        <v>2083</v>
      </c>
      <c r="H1043" s="2" t="s">
        <v>2084</v>
      </c>
      <c r="I1043" s="2"/>
      <c r="J1043" s="2">
        <v>1</v>
      </c>
      <c r="K1043" s="2"/>
      <c r="L1043" s="3">
        <v>83.5</v>
      </c>
      <c r="M1043" s="3">
        <v>8.35</v>
      </c>
      <c r="N1043" s="3">
        <v>4.24</v>
      </c>
      <c r="O1043" s="3">
        <f>6.47</f>
        <v>6.47</v>
      </c>
      <c r="P1043" s="3">
        <f>6.47-6.47</f>
        <v>0</v>
      </c>
      <c r="Q1043" s="6">
        <f t="shared" si="2165"/>
        <v>70.910000000000011</v>
      </c>
      <c r="R1043" s="3"/>
      <c r="S1043" s="3">
        <v>65.19</v>
      </c>
      <c r="T1043" s="3">
        <v>4.75</v>
      </c>
      <c r="U1043" s="3"/>
      <c r="V1043" s="3"/>
      <c r="W1043" s="3">
        <v>6.99</v>
      </c>
      <c r="X1043" s="2">
        <f t="shared" ref="X1043" si="2264">+S1043+T1043++U1043+V1043-W1043</f>
        <v>62.949999999999996</v>
      </c>
      <c r="Y1043" s="6">
        <f t="shared" ref="Y1043" si="2265">+Q1043-X1043</f>
        <v>7.9600000000000151</v>
      </c>
      <c r="Z1043" s="2"/>
      <c r="AA1043" s="6">
        <f>+Y1043</f>
        <v>7.9600000000000151</v>
      </c>
      <c r="AB1043" s="2"/>
      <c r="AC1043" s="3"/>
      <c r="AD1043" s="2"/>
      <c r="AE1043" s="2"/>
      <c r="AF1043" s="2"/>
      <c r="AG1043" s="2"/>
      <c r="AH1043" s="2" t="s">
        <v>2094</v>
      </c>
      <c r="AI1043" s="2" t="s">
        <v>2093</v>
      </c>
      <c r="AJ1043" s="2"/>
      <c r="AK1043" s="2"/>
      <c r="AL1043" s="2"/>
      <c r="AM1043" s="2"/>
      <c r="AN1043" s="2"/>
      <c r="AO1043" s="2" t="s">
        <v>2110</v>
      </c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</row>
    <row r="1044" spans="3:58">
      <c r="C1044" s="1">
        <v>43926</v>
      </c>
      <c r="E1044" s="2" t="s">
        <v>1619</v>
      </c>
      <c r="F1044" s="2"/>
      <c r="G1044" s="2" t="s">
        <v>2079</v>
      </c>
      <c r="H1044" s="2" t="s">
        <v>2080</v>
      </c>
      <c r="I1044" s="2"/>
      <c r="J1044" s="2">
        <v>1</v>
      </c>
      <c r="K1044" s="2"/>
      <c r="L1044" s="3">
        <v>83.5</v>
      </c>
      <c r="M1044" s="3">
        <v>8.35</v>
      </c>
      <c r="N1044" s="3">
        <v>4.24</v>
      </c>
      <c r="O1044" s="3">
        <f>6.05</f>
        <v>6.05</v>
      </c>
      <c r="P1044" s="3">
        <f>6.05-6.05</f>
        <v>0</v>
      </c>
      <c r="Q1044" s="6">
        <f t="shared" si="2165"/>
        <v>70.910000000000011</v>
      </c>
      <c r="R1044" s="3"/>
      <c r="S1044" s="3">
        <v>65.19</v>
      </c>
      <c r="T1044" s="3">
        <v>4.7300000000000004</v>
      </c>
      <c r="U1044" s="3"/>
      <c r="V1044" s="3"/>
      <c r="W1044" s="3">
        <v>6.99</v>
      </c>
      <c r="X1044" s="2">
        <f t="shared" ref="X1044" si="2266">+S1044+T1044++U1044+V1044-W1044</f>
        <v>62.93</v>
      </c>
      <c r="Y1044" s="6">
        <f t="shared" ref="Y1044" si="2267">+Q1044-X1044</f>
        <v>7.9800000000000111</v>
      </c>
      <c r="Z1044" s="2"/>
      <c r="AA1044" s="6">
        <f>+Y1044</f>
        <v>7.9800000000000111</v>
      </c>
      <c r="AB1044" s="2"/>
      <c r="AC1044" s="3"/>
      <c r="AD1044" s="2"/>
      <c r="AE1044" s="2"/>
      <c r="AF1044" s="2"/>
      <c r="AG1044" s="2"/>
      <c r="AH1044" s="2" t="s">
        <v>2081</v>
      </c>
      <c r="AI1044" s="2" t="s">
        <v>2082</v>
      </c>
      <c r="AJ1044" s="2"/>
      <c r="AK1044" s="2"/>
      <c r="AL1044" s="2"/>
      <c r="AM1044" s="2"/>
      <c r="AN1044" s="2"/>
      <c r="AO1044" s="16" t="s">
        <v>2109</v>
      </c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</row>
    <row r="1045" spans="3:58">
      <c r="C1045" s="1">
        <v>43925</v>
      </c>
      <c r="E1045" s="2" t="s">
        <v>2045</v>
      </c>
      <c r="F1045" s="2"/>
      <c r="G1045" s="2" t="s">
        <v>2108</v>
      </c>
      <c r="H1045" s="2" t="s">
        <v>2075</v>
      </c>
      <c r="I1045" s="2"/>
      <c r="J1045" s="2">
        <v>1</v>
      </c>
      <c r="K1045" s="2"/>
      <c r="L1045" s="3">
        <v>33.950000000000003</v>
      </c>
      <c r="M1045" s="3">
        <v>3.39</v>
      </c>
      <c r="N1045" s="3">
        <v>1.88</v>
      </c>
      <c r="O1045" s="3">
        <f>2.04</f>
        <v>2.04</v>
      </c>
      <c r="P1045" s="3">
        <f>2.04-2.04</f>
        <v>0</v>
      </c>
      <c r="Q1045" s="6">
        <f t="shared" si="2165"/>
        <v>28.680000000000003</v>
      </c>
      <c r="R1045" s="3"/>
      <c r="S1045" s="3">
        <v>23.99</v>
      </c>
      <c r="T1045" s="3">
        <v>1.44</v>
      </c>
      <c r="U1045" s="3"/>
      <c r="V1045" s="3"/>
      <c r="W1045" s="3"/>
      <c r="X1045" s="2">
        <f t="shared" ref="X1045" si="2268">+S1045+T1045++U1045+V1045-W1045</f>
        <v>25.43</v>
      </c>
      <c r="Y1045" s="6">
        <f t="shared" ref="Y1045" si="2269">+Q1045-X1045</f>
        <v>3.2500000000000036</v>
      </c>
      <c r="Z1045" s="2"/>
      <c r="AA1045" s="2"/>
      <c r="AB1045" s="2"/>
      <c r="AC1045" s="3"/>
      <c r="AD1045" s="2"/>
      <c r="AE1045" s="2"/>
      <c r="AF1045" s="2"/>
      <c r="AG1045" s="2"/>
      <c r="AH1045" s="2" t="s">
        <v>2076</v>
      </c>
      <c r="AI1045" s="2" t="s">
        <v>2077</v>
      </c>
      <c r="AJ1045" s="2"/>
      <c r="AK1045" s="2"/>
      <c r="AL1045" s="2"/>
      <c r="AM1045" s="2"/>
      <c r="AN1045" s="2"/>
      <c r="AO1045" s="2" t="s">
        <v>2107</v>
      </c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</row>
    <row r="1046" spans="3:58">
      <c r="C1046" s="1">
        <v>43925</v>
      </c>
      <c r="E1046" s="2" t="s">
        <v>2073</v>
      </c>
      <c r="F1046" s="2"/>
      <c r="G1046" s="2" t="s">
        <v>2069</v>
      </c>
      <c r="H1046" s="2" t="s">
        <v>2070</v>
      </c>
      <c r="I1046" s="2"/>
      <c r="J1046" s="2">
        <v>1</v>
      </c>
      <c r="K1046" s="2"/>
      <c r="L1046" s="3">
        <v>83.5</v>
      </c>
      <c r="M1046" s="3">
        <v>8.35</v>
      </c>
      <c r="N1046" s="3">
        <v>4.24</v>
      </c>
      <c r="O1046" s="3"/>
      <c r="P1046" s="3">
        <v>6.05</v>
      </c>
      <c r="Q1046" s="6">
        <f t="shared" ref="Q1046" si="2270">+L1046-M1046-N1046+P1046</f>
        <v>76.960000000000008</v>
      </c>
      <c r="R1046" s="3"/>
      <c r="S1046" s="3">
        <v>65.19</v>
      </c>
      <c r="T1046" s="3"/>
      <c r="U1046" s="3"/>
      <c r="V1046" s="3"/>
      <c r="W1046" s="3">
        <v>6.51</v>
      </c>
      <c r="X1046" s="2">
        <f t="shared" ref="X1046" si="2271">+S1046+T1046++U1046+V1046-W1046</f>
        <v>58.68</v>
      </c>
      <c r="Y1046" s="6">
        <f t="shared" ref="Y1046" si="2272">+Q1046-X1046</f>
        <v>18.280000000000008</v>
      </c>
      <c r="Z1046" s="2"/>
      <c r="AA1046" s="6">
        <f>+Y1046</f>
        <v>18.280000000000008</v>
      </c>
      <c r="AB1046" s="2"/>
      <c r="AC1046" s="3"/>
      <c r="AD1046" s="2"/>
      <c r="AE1046" s="2"/>
      <c r="AF1046" s="2"/>
      <c r="AG1046" s="2"/>
      <c r="AH1046" s="2" t="s">
        <v>2072</v>
      </c>
      <c r="AI1046" s="2" t="s">
        <v>2071</v>
      </c>
      <c r="AJ1046" s="2"/>
      <c r="AK1046" s="2"/>
      <c r="AL1046" s="2"/>
      <c r="AM1046" s="2"/>
      <c r="AN1046" s="2"/>
      <c r="AO1046" s="16" t="s">
        <v>2102</v>
      </c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</row>
    <row r="1047" spans="3:58">
      <c r="C1047" s="1">
        <v>43925</v>
      </c>
      <c r="E1047" s="2" t="s">
        <v>1619</v>
      </c>
      <c r="F1047" s="2"/>
      <c r="G1047" s="2" t="s">
        <v>2069</v>
      </c>
      <c r="H1047" s="2" t="s">
        <v>2070</v>
      </c>
      <c r="I1047" s="2"/>
      <c r="J1047" s="2">
        <v>1</v>
      </c>
      <c r="K1047" s="2"/>
      <c r="L1047" s="3">
        <v>83.5</v>
      </c>
      <c r="M1047" s="3">
        <v>8.35</v>
      </c>
      <c r="N1047" s="3">
        <v>4.24</v>
      </c>
      <c r="O1047" s="3"/>
      <c r="P1047" s="3">
        <v>6.05</v>
      </c>
      <c r="Q1047" s="6">
        <f t="shared" si="2165"/>
        <v>76.960000000000008</v>
      </c>
      <c r="R1047" s="3"/>
      <c r="S1047" s="3">
        <v>65.19</v>
      </c>
      <c r="T1047" s="3"/>
      <c r="U1047" s="3"/>
      <c r="V1047" s="3"/>
      <c r="W1047" s="3">
        <v>6.51</v>
      </c>
      <c r="X1047" s="2">
        <f t="shared" ref="X1047" si="2273">+S1047+T1047++U1047+V1047-W1047</f>
        <v>58.68</v>
      </c>
      <c r="Y1047" s="6">
        <f t="shared" ref="Y1047" si="2274">+Q1047-X1047</f>
        <v>18.280000000000008</v>
      </c>
      <c r="Z1047" s="2"/>
      <c r="AA1047" s="6">
        <f>+Y1047</f>
        <v>18.280000000000008</v>
      </c>
      <c r="AB1047" s="2"/>
      <c r="AC1047" s="3"/>
      <c r="AD1047" s="2"/>
      <c r="AE1047" s="2"/>
      <c r="AF1047" s="2"/>
      <c r="AG1047" s="2"/>
      <c r="AH1047" s="2" t="s">
        <v>2072</v>
      </c>
      <c r="AI1047" s="4" t="s">
        <v>2071</v>
      </c>
      <c r="AJ1047" s="2"/>
      <c r="AK1047" s="2"/>
      <c r="AL1047" s="2"/>
      <c r="AM1047" s="2"/>
      <c r="AN1047" s="2"/>
      <c r="AO1047" s="16" t="s">
        <v>2103</v>
      </c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</row>
    <row r="1048" spans="3:58">
      <c r="C1048" s="1">
        <v>43925</v>
      </c>
      <c r="E1048" s="2" t="s">
        <v>2024</v>
      </c>
      <c r="F1048" s="2"/>
      <c r="G1048" s="2" t="s">
        <v>2059</v>
      </c>
      <c r="H1048" s="2" t="s">
        <v>2060</v>
      </c>
      <c r="I1048" s="2"/>
      <c r="J1048" s="2">
        <v>1</v>
      </c>
      <c r="K1048" s="2"/>
      <c r="L1048" s="3">
        <v>51.86</v>
      </c>
      <c r="M1048" s="3">
        <v>5.18</v>
      </c>
      <c r="N1048" s="3">
        <v>2.74</v>
      </c>
      <c r="O1048" s="3">
        <f>3.63</f>
        <v>3.63</v>
      </c>
      <c r="P1048" s="3">
        <f>3.63-3.63</f>
        <v>0</v>
      </c>
      <c r="Q1048" s="6">
        <f t="shared" si="2165"/>
        <v>43.94</v>
      </c>
      <c r="R1048" s="3"/>
      <c r="S1048" s="3">
        <v>34.86</v>
      </c>
      <c r="T1048" s="3">
        <v>2.44</v>
      </c>
      <c r="U1048" s="3"/>
      <c r="V1048" s="3"/>
      <c r="W1048" s="3"/>
      <c r="X1048" s="2">
        <f t="shared" ref="X1048" si="2275">+S1048+T1048++U1048+V1048-W1048</f>
        <v>37.299999999999997</v>
      </c>
      <c r="Y1048" s="6">
        <f t="shared" ref="Y1048" si="2276">+Q1048-X1048</f>
        <v>6.6400000000000006</v>
      </c>
      <c r="Z1048" s="6">
        <f>+Y1048</f>
        <v>6.6400000000000006</v>
      </c>
      <c r="AA1048" s="2"/>
      <c r="AB1048" s="2"/>
      <c r="AC1048" s="3"/>
      <c r="AD1048" s="2"/>
      <c r="AE1048" s="2"/>
      <c r="AF1048" s="2"/>
      <c r="AG1048" s="2"/>
      <c r="AH1048" s="2" t="s">
        <v>2062</v>
      </c>
      <c r="AI1048" s="2" t="s">
        <v>2061</v>
      </c>
      <c r="AJ1048" s="2"/>
      <c r="AK1048" s="2"/>
      <c r="AL1048" s="2"/>
      <c r="AM1048" s="2"/>
      <c r="AN1048" s="2"/>
      <c r="AO1048" s="16" t="s">
        <v>2101</v>
      </c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</row>
    <row r="1049" spans="3:58">
      <c r="C1049" s="1">
        <v>43924</v>
      </c>
      <c r="E1049" s="2" t="s">
        <v>2058</v>
      </c>
      <c r="F1049" s="2"/>
      <c r="G1049" s="2" t="s">
        <v>2063</v>
      </c>
      <c r="H1049" s="2" t="s">
        <v>2064</v>
      </c>
      <c r="I1049" s="2"/>
      <c r="J1049" s="2">
        <v>1</v>
      </c>
      <c r="K1049" s="2"/>
      <c r="L1049" s="3">
        <v>22.5</v>
      </c>
      <c r="M1049" s="3">
        <v>2.25</v>
      </c>
      <c r="N1049" s="3">
        <v>1.38</v>
      </c>
      <c r="O1049" s="3">
        <f>1.97</f>
        <v>1.97</v>
      </c>
      <c r="P1049" s="3">
        <f>1.97-1.97</f>
        <v>0</v>
      </c>
      <c r="Q1049" s="6">
        <f t="shared" si="2165"/>
        <v>18.87</v>
      </c>
      <c r="R1049" s="3"/>
      <c r="S1049" s="3">
        <v>14.99</v>
      </c>
      <c r="T1049" s="3">
        <v>1.1599999999999999</v>
      </c>
      <c r="U1049" s="3"/>
      <c r="V1049" s="3"/>
      <c r="W1049" s="3"/>
      <c r="X1049" s="2">
        <f t="shared" ref="X1049" si="2277">+S1049+T1049++U1049+V1049-W1049</f>
        <v>16.149999999999999</v>
      </c>
      <c r="Y1049" s="6">
        <f t="shared" ref="Y1049" si="2278">+Q1049-X1049</f>
        <v>2.7200000000000024</v>
      </c>
      <c r="Z1049" s="2"/>
      <c r="AA1049" s="2"/>
      <c r="AB1049" s="2"/>
      <c r="AC1049" s="3"/>
      <c r="AD1049" s="2"/>
      <c r="AE1049" s="2"/>
      <c r="AF1049" s="2"/>
      <c r="AG1049" s="2"/>
      <c r="AH1049" s="2" t="s">
        <v>2066</v>
      </c>
      <c r="AI1049" s="2" t="s">
        <v>2065</v>
      </c>
      <c r="AJ1049" s="2"/>
      <c r="AK1049" s="2"/>
      <c r="AL1049" s="2"/>
      <c r="AM1049" s="2"/>
      <c r="AN1049" s="2"/>
      <c r="AO1049" s="16" t="s">
        <v>2100</v>
      </c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</row>
    <row r="1050" spans="3:58">
      <c r="C1050" s="1">
        <v>43924</v>
      </c>
      <c r="E1050" s="2" t="s">
        <v>1837</v>
      </c>
      <c r="F1050" s="2"/>
      <c r="G1050" s="2" t="s">
        <v>2052</v>
      </c>
      <c r="H1050" s="2" t="s">
        <v>2053</v>
      </c>
      <c r="I1050" s="2"/>
      <c r="J1050" s="2">
        <v>1</v>
      </c>
      <c r="K1050" s="2"/>
      <c r="L1050" s="3">
        <v>23.5</v>
      </c>
      <c r="M1050" s="3">
        <v>2.35</v>
      </c>
      <c r="N1050" s="3">
        <v>1.39</v>
      </c>
      <c r="O1050" s="3">
        <f>1.35</f>
        <v>1.35</v>
      </c>
      <c r="P1050" s="3">
        <f>1.35-1.35</f>
        <v>0</v>
      </c>
      <c r="Q1050" s="6">
        <f t="shared" si="2165"/>
        <v>19.759999999999998</v>
      </c>
      <c r="R1050" s="3"/>
      <c r="S1050" s="3">
        <v>16.5</v>
      </c>
      <c r="T1050" s="3">
        <v>0.93</v>
      </c>
      <c r="U1050" s="3"/>
      <c r="V1050" s="3"/>
      <c r="W1050" s="3"/>
      <c r="X1050" s="2">
        <f t="shared" ref="X1050" si="2279">+S1050+T1050++U1050+V1050-W1050</f>
        <v>17.43</v>
      </c>
      <c r="Y1050" s="6">
        <f t="shared" ref="Y1050" si="2280">+Q1050-X1050</f>
        <v>2.3299999999999983</v>
      </c>
      <c r="Z1050" s="2"/>
      <c r="AA1050" s="2"/>
      <c r="AB1050" s="2"/>
      <c r="AC1050" s="3"/>
      <c r="AD1050" s="2"/>
      <c r="AE1050" s="2"/>
      <c r="AF1050" s="2"/>
      <c r="AG1050" s="2"/>
      <c r="AH1050" s="2" t="s">
        <v>2056</v>
      </c>
      <c r="AI1050" s="2" t="s">
        <v>2055</v>
      </c>
      <c r="AJ1050" s="2"/>
      <c r="AK1050" s="2"/>
      <c r="AL1050" s="2"/>
      <c r="AM1050" s="2"/>
      <c r="AN1050" s="2"/>
      <c r="AO1050" s="16" t="s">
        <v>2054</v>
      </c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</row>
    <row r="1051" spans="3:58">
      <c r="C1051" s="1">
        <v>43924</v>
      </c>
      <c r="E1051" s="2" t="s">
        <v>2045</v>
      </c>
      <c r="F1051" s="2"/>
      <c r="G1051" s="2" t="s">
        <v>2050</v>
      </c>
      <c r="H1051" s="2" t="s">
        <v>2051</v>
      </c>
      <c r="I1051" s="2"/>
      <c r="J1051" s="2">
        <v>1</v>
      </c>
      <c r="K1051" s="2"/>
      <c r="L1051" s="3">
        <v>33.950000000000003</v>
      </c>
      <c r="M1051" s="3">
        <v>3.39</v>
      </c>
      <c r="N1051" s="3">
        <v>1.79</v>
      </c>
      <c r="O1051" s="3"/>
      <c r="P1051" s="3"/>
      <c r="Q1051" s="6">
        <f t="shared" si="2165"/>
        <v>28.770000000000003</v>
      </c>
      <c r="R1051" s="3"/>
      <c r="S1051" s="3">
        <v>23.99</v>
      </c>
      <c r="T1051" s="3"/>
      <c r="U1051" s="3"/>
      <c r="V1051" s="3"/>
      <c r="W1051" s="3"/>
      <c r="X1051" s="2">
        <f t="shared" ref="X1051" si="2281">+S1051+T1051++U1051+V1051-W1051</f>
        <v>23.99</v>
      </c>
      <c r="Y1051" s="6">
        <f t="shared" ref="Y1051" si="2282">+Q1051-X1051</f>
        <v>4.7800000000000047</v>
      </c>
      <c r="Z1051" s="2"/>
      <c r="AA1051" s="2"/>
      <c r="AB1051" s="2"/>
      <c r="AC1051" s="3"/>
      <c r="AD1051" s="2"/>
      <c r="AE1051" s="2"/>
      <c r="AF1051" s="2"/>
      <c r="AG1051" s="2"/>
      <c r="AH1051" s="2" t="s">
        <v>2068</v>
      </c>
      <c r="AI1051" s="2" t="s">
        <v>2067</v>
      </c>
      <c r="AJ1051" s="2"/>
      <c r="AK1051" s="2"/>
      <c r="AL1051" s="2"/>
      <c r="AM1051" s="2"/>
      <c r="AN1051" s="2"/>
      <c r="AO1051" s="16" t="s">
        <v>2099</v>
      </c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</row>
    <row r="1052" spans="3:58">
      <c r="C1052" s="1">
        <v>43924</v>
      </c>
      <c r="E1052" s="2" t="s">
        <v>1884</v>
      </c>
      <c r="F1052" s="2"/>
      <c r="G1052" s="2" t="s">
        <v>2046</v>
      </c>
      <c r="H1052" s="2" t="s">
        <v>2047</v>
      </c>
      <c r="I1052" s="2"/>
      <c r="J1052" s="2">
        <v>1</v>
      </c>
      <c r="K1052" s="2"/>
      <c r="L1052" s="3">
        <v>20</v>
      </c>
      <c r="M1052" s="3">
        <v>2</v>
      </c>
      <c r="N1052" s="3">
        <v>1.24</v>
      </c>
      <c r="O1052" s="3">
        <f>1.25</f>
        <v>1.25</v>
      </c>
      <c r="P1052" s="3">
        <f>1.25-1.25</f>
        <v>0</v>
      </c>
      <c r="Q1052" s="6">
        <f t="shared" si="2165"/>
        <v>16.760000000000002</v>
      </c>
      <c r="R1052" s="3"/>
      <c r="S1052" s="3">
        <v>12.99</v>
      </c>
      <c r="T1052" s="3">
        <v>0.81</v>
      </c>
      <c r="U1052" s="3">
        <v>0</v>
      </c>
      <c r="V1052" s="3"/>
      <c r="W1052" s="3"/>
      <c r="X1052" s="2">
        <f t="shared" ref="X1052" si="2283">+S1052+T1052++U1052+V1052-W1052</f>
        <v>13.8</v>
      </c>
      <c r="Y1052" s="6">
        <f t="shared" ref="Y1052" si="2284">+Q1052-X1052</f>
        <v>2.9600000000000009</v>
      </c>
      <c r="Z1052" s="2"/>
      <c r="AA1052" s="2"/>
      <c r="AB1052" s="2"/>
      <c r="AC1052" s="3"/>
      <c r="AD1052" s="2"/>
      <c r="AE1052" s="2"/>
      <c r="AF1052" s="2"/>
      <c r="AG1052" s="2"/>
      <c r="AH1052" s="2" t="s">
        <v>2049</v>
      </c>
      <c r="AI1052" s="2" t="s">
        <v>2048</v>
      </c>
      <c r="AJ1052" s="2"/>
      <c r="AK1052" s="2"/>
      <c r="AL1052" s="2"/>
      <c r="AM1052" s="2"/>
      <c r="AN1052" s="2"/>
      <c r="AO1052" s="16" t="s">
        <v>2057</v>
      </c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</row>
    <row r="1053" spans="3:58">
      <c r="C1053" s="1">
        <v>43923</v>
      </c>
      <c r="E1053" s="2" t="s">
        <v>2024</v>
      </c>
      <c r="F1053" s="2"/>
      <c r="G1053" s="2" t="s">
        <v>2037</v>
      </c>
      <c r="H1053" s="2" t="s">
        <v>2038</v>
      </c>
      <c r="I1053" s="2"/>
      <c r="J1053" s="2">
        <v>1</v>
      </c>
      <c r="K1053" s="2"/>
      <c r="L1053" s="3">
        <v>51.86</v>
      </c>
      <c r="M1053" s="3">
        <v>5.18</v>
      </c>
      <c r="N1053" s="3">
        <v>2.71</v>
      </c>
      <c r="O1053" s="3">
        <f>2.9</f>
        <v>2.9</v>
      </c>
      <c r="P1053" s="3">
        <f>2.9-2.9</f>
        <v>0</v>
      </c>
      <c r="Q1053" s="6">
        <f t="shared" si="2165"/>
        <v>43.97</v>
      </c>
      <c r="R1053" s="3"/>
      <c r="S1053" s="3">
        <v>34.979999999999997</v>
      </c>
      <c r="T1053" s="3">
        <v>3</v>
      </c>
      <c r="U1053" s="3"/>
      <c r="V1053" s="3"/>
      <c r="W1053" s="3"/>
      <c r="X1053" s="2">
        <f t="shared" ref="X1053:X1054" si="2285">+S1053+T1053++U1053+V1053-W1053</f>
        <v>37.979999999999997</v>
      </c>
      <c r="Y1053" s="6">
        <f t="shared" ref="Y1053:Y1054" si="2286">+Q1053-X1053</f>
        <v>5.990000000000002</v>
      </c>
      <c r="Z1053" s="6">
        <f>+Y1053</f>
        <v>5.990000000000002</v>
      </c>
      <c r="AA1053" s="2"/>
      <c r="AB1053" s="2"/>
      <c r="AC1053" s="3"/>
      <c r="AD1053" s="2"/>
      <c r="AE1053" s="2"/>
      <c r="AF1053" s="2"/>
      <c r="AG1053" s="2"/>
      <c r="AH1053" s="2" t="s">
        <v>2040</v>
      </c>
      <c r="AI1053" s="2" t="s">
        <v>2039</v>
      </c>
      <c r="AJ1053" s="2"/>
      <c r="AK1053" s="2"/>
      <c r="AL1053" s="2"/>
      <c r="AM1053" s="2"/>
      <c r="AN1053" s="2"/>
      <c r="AO1053" s="16" t="s">
        <v>2098</v>
      </c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</row>
    <row r="1054" spans="3:58">
      <c r="C1054" s="1">
        <v>43923</v>
      </c>
      <c r="E1054" s="2" t="s">
        <v>2024</v>
      </c>
      <c r="F1054" s="2"/>
      <c r="G1054" s="2" t="s">
        <v>2029</v>
      </c>
      <c r="H1054" s="2" t="s">
        <v>3910</v>
      </c>
      <c r="I1054" s="2"/>
      <c r="J1054" s="2">
        <v>1</v>
      </c>
      <c r="K1054" s="2"/>
      <c r="L1054" s="3">
        <v>51.86</v>
      </c>
      <c r="M1054" s="3">
        <v>5.18</v>
      </c>
      <c r="N1054" s="3">
        <v>2.77</v>
      </c>
      <c r="O1054" s="3">
        <f>4.28</f>
        <v>4.28</v>
      </c>
      <c r="P1054" s="3">
        <f>4.28-4.28</f>
        <v>0</v>
      </c>
      <c r="Q1054" s="6">
        <f t="shared" si="2165"/>
        <v>43.91</v>
      </c>
      <c r="R1054" s="3"/>
      <c r="S1054" s="3">
        <v>34.86</v>
      </c>
      <c r="T1054" s="3">
        <v>2.88</v>
      </c>
      <c r="U1054" s="3"/>
      <c r="V1054" s="3"/>
      <c r="W1054" s="3"/>
      <c r="X1054" s="3">
        <f t="shared" si="2285"/>
        <v>37.74</v>
      </c>
      <c r="Y1054" s="3">
        <f t="shared" si="2286"/>
        <v>6.1699999999999946</v>
      </c>
      <c r="Z1054" s="6">
        <f>+Y1054</f>
        <v>6.1699999999999946</v>
      </c>
      <c r="AA1054" s="2"/>
      <c r="AB1054" s="2"/>
      <c r="AC1054" s="3"/>
      <c r="AD1054" s="2"/>
      <c r="AE1054" s="2"/>
      <c r="AF1054" s="2"/>
      <c r="AG1054" s="2"/>
      <c r="AH1054" s="2" t="s">
        <v>2031</v>
      </c>
      <c r="AI1054" s="2" t="s">
        <v>2030</v>
      </c>
      <c r="AJ1054" s="2"/>
      <c r="AK1054" s="2"/>
      <c r="AL1054" s="2"/>
      <c r="AM1054" s="2"/>
      <c r="AN1054" s="2"/>
      <c r="AO1054" s="16" t="s">
        <v>2097</v>
      </c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</row>
    <row r="1055" spans="3:58">
      <c r="C1055" s="1">
        <v>43923</v>
      </c>
      <c r="E1055" s="2" t="s">
        <v>2000</v>
      </c>
      <c r="F1055" s="2"/>
      <c r="G1055" s="2" t="s">
        <v>2025</v>
      </c>
      <c r="H1055" s="2" t="s">
        <v>2026</v>
      </c>
      <c r="I1055" s="2"/>
      <c r="J1055" s="2">
        <v>1</v>
      </c>
      <c r="K1055" s="2"/>
      <c r="L1055" s="3">
        <v>13.97</v>
      </c>
      <c r="M1055" s="3">
        <v>1.39</v>
      </c>
      <c r="N1055" s="3">
        <v>0.96</v>
      </c>
      <c r="O1055" s="3">
        <f>1.12</f>
        <v>1.1200000000000001</v>
      </c>
      <c r="P1055" s="3">
        <f>1.12-1.12</f>
        <v>0</v>
      </c>
      <c r="Q1055" s="6">
        <f t="shared" si="2165"/>
        <v>11.620000000000001</v>
      </c>
      <c r="R1055" s="3"/>
      <c r="S1055" s="3">
        <v>12.97</v>
      </c>
      <c r="T1055" s="3">
        <v>1.04</v>
      </c>
      <c r="U1055" s="3"/>
      <c r="V1055" s="3"/>
      <c r="W1055" s="3">
        <v>0</v>
      </c>
      <c r="X1055" s="2">
        <f t="shared" ref="X1055" si="2287">+S1055+T1055++U1055+V1055-W1055</f>
        <v>14.010000000000002</v>
      </c>
      <c r="Y1055" s="6">
        <f t="shared" ref="Y1055" si="2288">+Q1055-X1055</f>
        <v>-2.3900000000000006</v>
      </c>
      <c r="Z1055" s="2"/>
      <c r="AA1055" s="2"/>
      <c r="AB1055" s="2"/>
      <c r="AC1055" s="3"/>
      <c r="AD1055" s="2"/>
      <c r="AE1055" s="2"/>
      <c r="AF1055" s="2"/>
      <c r="AG1055" s="2"/>
      <c r="AH1055" s="2" t="s">
        <v>2028</v>
      </c>
      <c r="AI1055" s="2" t="s">
        <v>2027</v>
      </c>
      <c r="AJ1055" s="2"/>
      <c r="AK1055" s="2"/>
      <c r="AL1055" s="2"/>
      <c r="AM1055" s="2"/>
      <c r="AN1055" s="2"/>
      <c r="AO1055" s="16" t="s">
        <v>2044</v>
      </c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</row>
    <row r="1056" spans="3:58">
      <c r="C1056" s="1">
        <v>43923</v>
      </c>
      <c r="E1056" s="2" t="s">
        <v>62</v>
      </c>
      <c r="F1056" s="2"/>
      <c r="G1056" s="2" t="s">
        <v>2020</v>
      </c>
      <c r="H1056" s="2" t="s">
        <v>2021</v>
      </c>
      <c r="I1056" s="2"/>
      <c r="J1056" s="2">
        <v>1</v>
      </c>
      <c r="K1056" s="2"/>
      <c r="L1056" s="3">
        <v>53.85</v>
      </c>
      <c r="M1056" s="3">
        <v>5.38</v>
      </c>
      <c r="N1056" s="3">
        <v>2.81</v>
      </c>
      <c r="O1056" s="3">
        <f>3.24</f>
        <v>3.24</v>
      </c>
      <c r="P1056" s="3">
        <f>3.24-3.24</f>
        <v>0</v>
      </c>
      <c r="Q1056" s="6">
        <f t="shared" si="2165"/>
        <v>45.66</v>
      </c>
      <c r="R1056" s="3"/>
      <c r="S1056" s="3">
        <v>39.99</v>
      </c>
      <c r="T1056" s="3">
        <v>2.4</v>
      </c>
      <c r="U1056" s="3"/>
      <c r="V1056" s="3"/>
      <c r="W1056" s="3"/>
      <c r="X1056" s="2">
        <f t="shared" ref="X1056" si="2289">+S1056+T1056++U1056+V1056-W1056</f>
        <v>42.39</v>
      </c>
      <c r="Y1056" s="6">
        <f t="shared" ref="Y1056" si="2290">+Q1056-X1056</f>
        <v>3.269999999999996</v>
      </c>
      <c r="Z1056" s="2"/>
      <c r="AA1056" s="2"/>
      <c r="AB1056" s="2"/>
      <c r="AC1056" s="3"/>
      <c r="AD1056" s="2"/>
      <c r="AE1056" s="2"/>
      <c r="AF1056" s="2"/>
      <c r="AG1056" s="2"/>
      <c r="AH1056" s="4" t="s">
        <v>2022</v>
      </c>
      <c r="AI1056" s="2" t="s">
        <v>2023</v>
      </c>
      <c r="AJ1056" s="2"/>
      <c r="AK1056" s="2"/>
      <c r="AL1056" s="2"/>
      <c r="AM1056" s="2"/>
      <c r="AN1056" s="2"/>
      <c r="AO1056" s="16" t="s">
        <v>2043</v>
      </c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</row>
    <row r="1057" spans="2:58">
      <c r="C1057" s="1">
        <v>43922</v>
      </c>
      <c r="E1057" s="2" t="s">
        <v>1356</v>
      </c>
      <c r="F1057" s="2"/>
      <c r="G1057" s="2" t="s">
        <v>2018</v>
      </c>
      <c r="H1057" s="2" t="s">
        <v>2019</v>
      </c>
      <c r="I1057" s="2"/>
      <c r="J1057" s="2">
        <v>1</v>
      </c>
      <c r="K1057" s="2"/>
      <c r="L1057" s="3">
        <v>34.950000000000003</v>
      </c>
      <c r="M1057" s="3">
        <v>3.49</v>
      </c>
      <c r="N1057" s="3">
        <v>1.95</v>
      </c>
      <c r="O1057" s="3">
        <f>2.45</f>
        <v>2.4500000000000002</v>
      </c>
      <c r="P1057" s="3">
        <f>2.45-2.45</f>
        <v>0</v>
      </c>
      <c r="Q1057" s="6">
        <f t="shared" si="2165"/>
        <v>29.51</v>
      </c>
      <c r="R1057" s="3"/>
      <c r="S1057" s="3">
        <v>24.99</v>
      </c>
      <c r="T1057" s="3">
        <v>1.75</v>
      </c>
      <c r="U1057" s="3"/>
      <c r="V1057" s="3"/>
      <c r="W1057" s="3"/>
      <c r="X1057" s="2">
        <f t="shared" ref="X1057" si="2291">+S1057+T1057++U1057+V1057-W1057</f>
        <v>26.74</v>
      </c>
      <c r="Y1057" s="6">
        <f t="shared" ref="Y1057" si="2292">+Q1057-X1057</f>
        <v>2.7700000000000031</v>
      </c>
      <c r="Z1057" s="2"/>
      <c r="AA1057" s="2"/>
      <c r="AB1057" s="2"/>
      <c r="AC1057" s="3"/>
      <c r="AD1057" s="2"/>
      <c r="AE1057" s="2"/>
      <c r="AF1057" s="2"/>
      <c r="AG1057" s="2"/>
      <c r="AH1057" s="2" t="s">
        <v>2033</v>
      </c>
      <c r="AI1057" s="2" t="s">
        <v>2032</v>
      </c>
      <c r="AJ1057" s="2"/>
      <c r="AK1057" s="2"/>
      <c r="AL1057" s="2"/>
      <c r="AM1057" s="2"/>
      <c r="AN1057" s="2"/>
      <c r="AO1057" s="2" t="s">
        <v>2042</v>
      </c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</row>
    <row r="1058" spans="2:58">
      <c r="C1058" s="1">
        <v>43922</v>
      </c>
      <c r="E1058" s="2" t="s">
        <v>2000</v>
      </c>
      <c r="F1058" s="2"/>
      <c r="G1058" s="2" t="s">
        <v>2001</v>
      </c>
      <c r="H1058" s="2" t="s">
        <v>2002</v>
      </c>
      <c r="I1058" s="2"/>
      <c r="J1058" s="2">
        <v>1</v>
      </c>
      <c r="K1058" s="2"/>
      <c r="L1058" s="3">
        <v>13.97</v>
      </c>
      <c r="M1058" s="3">
        <v>1.39</v>
      </c>
      <c r="N1058" s="3">
        <v>0.98</v>
      </c>
      <c r="O1058" s="3"/>
      <c r="P1058" s="3">
        <v>1.4</v>
      </c>
      <c r="Q1058" s="6">
        <f t="shared" si="2165"/>
        <v>13</v>
      </c>
      <c r="R1058" s="3"/>
      <c r="S1058" s="3">
        <v>10.99</v>
      </c>
      <c r="T1058" s="3">
        <v>1.1000000000000001</v>
      </c>
      <c r="U1058" s="3"/>
      <c r="V1058" s="3"/>
      <c r="W1058" s="3"/>
      <c r="X1058" s="2">
        <f t="shared" ref="X1058" si="2293">+S1058+T1058++U1058+V1058-W1058</f>
        <v>12.09</v>
      </c>
      <c r="Y1058" s="6">
        <f t="shared" ref="Y1058" si="2294">+Q1058-X1058</f>
        <v>0.91000000000000014</v>
      </c>
      <c r="Z1058" s="6" t="s">
        <v>2887</v>
      </c>
      <c r="AA1058" s="2"/>
      <c r="AB1058" s="2"/>
      <c r="AC1058" s="3"/>
      <c r="AD1058" s="2"/>
      <c r="AE1058" s="2"/>
      <c r="AF1058" s="2"/>
      <c r="AG1058" s="2"/>
      <c r="AH1058" s="2" t="s">
        <v>2004</v>
      </c>
      <c r="AI1058" s="2" t="s">
        <v>2003</v>
      </c>
      <c r="AJ1058" s="2"/>
      <c r="AK1058" s="2"/>
      <c r="AL1058" s="2"/>
      <c r="AM1058" s="2"/>
      <c r="AN1058" s="2"/>
      <c r="AO1058" s="2" t="s">
        <v>2041</v>
      </c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</row>
    <row r="1059" spans="2:58">
      <c r="C1059" s="1"/>
      <c r="E1059" s="2"/>
      <c r="F1059" s="2"/>
      <c r="G1059" s="2"/>
      <c r="H1059" s="2"/>
      <c r="I1059" s="2"/>
      <c r="J1059" s="2">
        <f>SUM(J836:J1058)</f>
        <v>218</v>
      </c>
      <c r="K1059" s="2">
        <v>6.1</v>
      </c>
      <c r="L1059" s="2">
        <f t="shared" ref="L1059:Q1059" si="2295">SUM(L836:L1058)</f>
        <v>10857.220000000008</v>
      </c>
      <c r="M1059" s="2">
        <f t="shared" si="2295"/>
        <v>1085.1799999999998</v>
      </c>
      <c r="N1059" s="2">
        <f t="shared" si="2295"/>
        <v>569.8900000000001</v>
      </c>
      <c r="O1059" s="2">
        <f t="shared" si="2295"/>
        <v>442.06000000000017</v>
      </c>
      <c r="P1059" s="2">
        <f t="shared" si="2295"/>
        <v>149.91</v>
      </c>
      <c r="Q1059" s="2">
        <f t="shared" si="2295"/>
        <v>9352.0600000000013</v>
      </c>
      <c r="R1059" s="3"/>
      <c r="S1059" s="2">
        <f>SUM(S836:S1058)</f>
        <v>7678.99999999998</v>
      </c>
      <c r="T1059" s="2">
        <f>SUM(T836:T1058)</f>
        <v>529.14999999999952</v>
      </c>
      <c r="U1059" s="2">
        <f>SUM(U836:U1058)</f>
        <v>94.839999999999989</v>
      </c>
      <c r="V1059" s="3"/>
      <c r="W1059" s="2">
        <f>SUM(W836:W1058)</f>
        <v>297.44999999999993</v>
      </c>
      <c r="X1059" s="2">
        <f>SUM(X836:X1058)</f>
        <v>7983.7099999999955</v>
      </c>
      <c r="Y1059" s="2">
        <f>SUM(Y836:Y1058)</f>
        <v>1339.4200000000003</v>
      </c>
      <c r="Z1059" s="2">
        <f>SUM(Z836:Z1058)</f>
        <v>346.46000000000004</v>
      </c>
      <c r="AA1059" s="2">
        <f>SUM(AA836:AA1058)</f>
        <v>347.98000000000036</v>
      </c>
      <c r="AB1059" s="2"/>
      <c r="AC1059" s="3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</row>
    <row r="1060" spans="2:58">
      <c r="C1060" s="1"/>
      <c r="E1060" s="2"/>
      <c r="F1060" s="2"/>
      <c r="G1060" s="2"/>
      <c r="H1060" s="2"/>
      <c r="I1060" s="2"/>
      <c r="J1060" s="2"/>
      <c r="K1060" s="2"/>
      <c r="L1060" s="3"/>
      <c r="M1060" s="3"/>
      <c r="N1060" s="3"/>
      <c r="O1060" s="3"/>
      <c r="P1060" s="3"/>
      <c r="Q1060" s="6"/>
      <c r="R1060" s="3"/>
      <c r="S1060" s="3"/>
      <c r="T1060" s="3"/>
      <c r="U1060" s="3"/>
      <c r="V1060" s="3"/>
      <c r="W1060" s="3"/>
      <c r="X1060" s="2"/>
      <c r="Y1060" s="6">
        <v>1346</v>
      </c>
      <c r="Z1060" s="6"/>
      <c r="AA1060" s="2" t="s">
        <v>2674</v>
      </c>
      <c r="AB1060" s="2"/>
      <c r="AC1060" s="3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</row>
    <row r="1061" spans="2:58">
      <c r="C1061" s="1">
        <v>43921</v>
      </c>
      <c r="E1061" s="2" t="s">
        <v>1619</v>
      </c>
      <c r="F1061" s="2"/>
      <c r="G1061" s="2" t="s">
        <v>2009</v>
      </c>
      <c r="H1061" s="2" t="s">
        <v>2010</v>
      </c>
      <c r="I1061" s="2"/>
      <c r="J1061" s="2">
        <v>1</v>
      </c>
      <c r="K1061" s="2"/>
      <c r="L1061" s="3">
        <v>83.5</v>
      </c>
      <c r="M1061" s="3">
        <v>8.35</v>
      </c>
      <c r="N1061" s="3">
        <v>4.2300000000000004</v>
      </c>
      <c r="O1061" s="3"/>
      <c r="P1061" s="3">
        <v>5.85</v>
      </c>
      <c r="Q1061" s="6">
        <f t="shared" si="2165"/>
        <v>76.77</v>
      </c>
      <c r="R1061" s="3"/>
      <c r="S1061" s="3">
        <v>65.19</v>
      </c>
      <c r="T1061" s="3">
        <v>0</v>
      </c>
      <c r="U1061" s="3"/>
      <c r="V1061" s="3"/>
      <c r="W1061" s="3">
        <v>6.51</v>
      </c>
      <c r="X1061" s="2">
        <f t="shared" ref="X1061" si="2296">+S1061+T1061++U1061+V1061-W1061</f>
        <v>58.68</v>
      </c>
      <c r="Y1061" s="6">
        <f t="shared" ref="Y1061" si="2297">+Q1061-X1061</f>
        <v>18.089999999999996</v>
      </c>
      <c r="Z1061" s="2"/>
      <c r="AA1061" s="2"/>
      <c r="AB1061" s="2"/>
      <c r="AC1061" s="3"/>
      <c r="AD1061" s="2"/>
      <c r="AE1061" s="2"/>
      <c r="AF1061" s="2"/>
      <c r="AG1061" s="2"/>
      <c r="AH1061" s="2" t="s">
        <v>2012</v>
      </c>
      <c r="AI1061" s="2" t="s">
        <v>2011</v>
      </c>
      <c r="AJ1061" s="2"/>
      <c r="AK1061" s="2"/>
      <c r="AL1061" s="2"/>
      <c r="AM1061" s="2"/>
      <c r="AN1061" s="2"/>
      <c r="AO1061" s="16" t="s">
        <v>2168</v>
      </c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</row>
    <row r="1062" spans="2:58">
      <c r="C1062" s="1">
        <v>43921</v>
      </c>
      <c r="E1062" s="2" t="s">
        <v>1998</v>
      </c>
      <c r="F1062" s="2"/>
      <c r="G1062" s="2" t="s">
        <v>2005</v>
      </c>
      <c r="H1062" s="2" t="s">
        <v>2006</v>
      </c>
      <c r="I1062" s="2"/>
      <c r="J1062" s="2">
        <v>1</v>
      </c>
      <c r="K1062" s="2"/>
      <c r="L1062" s="3">
        <v>81.5</v>
      </c>
      <c r="M1062" s="3">
        <v>8.15</v>
      </c>
      <c r="N1062" s="3">
        <v>4.18</v>
      </c>
      <c r="O1062" s="3"/>
      <c r="P1062" s="3">
        <f>6.72-6.72</f>
        <v>0</v>
      </c>
      <c r="Q1062" s="6">
        <f t="shared" si="2165"/>
        <v>69.169999999999987</v>
      </c>
      <c r="R1062" s="3"/>
      <c r="S1062" s="3">
        <v>65.19</v>
      </c>
      <c r="T1062" s="3"/>
      <c r="U1062" s="3"/>
      <c r="V1062" s="3"/>
      <c r="W1062" s="3">
        <v>7.05</v>
      </c>
      <c r="X1062" s="2">
        <f t="shared" ref="X1062" si="2298">+S1062+T1062++U1062+V1062-W1062</f>
        <v>58.14</v>
      </c>
      <c r="Y1062" s="6">
        <f t="shared" ref="Y1062" si="2299">+Q1062-X1062</f>
        <v>11.029999999999987</v>
      </c>
      <c r="Z1062" s="2"/>
      <c r="AA1062" s="2"/>
      <c r="AB1062" s="2"/>
      <c r="AC1062" s="3"/>
      <c r="AD1062" s="2"/>
      <c r="AE1062" s="2"/>
      <c r="AF1062" s="2"/>
      <c r="AG1062" s="2"/>
      <c r="AH1062" s="2" t="s">
        <v>2008</v>
      </c>
      <c r="AI1062" s="2" t="s">
        <v>2007</v>
      </c>
      <c r="AJ1062" s="2"/>
      <c r="AK1062" s="2"/>
      <c r="AL1062" s="2"/>
      <c r="AM1062" s="2"/>
      <c r="AN1062" s="2"/>
      <c r="AO1062" s="16" t="s">
        <v>2169</v>
      </c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</row>
    <row r="1063" spans="2:58">
      <c r="C1063" s="1">
        <v>43921</v>
      </c>
      <c r="E1063" s="2" t="s">
        <v>1999</v>
      </c>
      <c r="F1063" s="2"/>
      <c r="G1063" s="2" t="s">
        <v>1982</v>
      </c>
      <c r="H1063" s="2" t="s">
        <v>1983</v>
      </c>
      <c r="I1063" s="2"/>
      <c r="J1063" s="2">
        <v>1</v>
      </c>
      <c r="K1063" s="2"/>
      <c r="L1063" s="3">
        <v>72.5</v>
      </c>
      <c r="M1063" s="3">
        <v>7.25</v>
      </c>
      <c r="N1063" s="3">
        <v>3.77</v>
      </c>
      <c r="O1063" s="3"/>
      <c r="P1063" s="3">
        <f>6.25-6.25</f>
        <v>0</v>
      </c>
      <c r="Q1063" s="6">
        <f t="shared" si="2165"/>
        <v>61.48</v>
      </c>
      <c r="R1063" s="3"/>
      <c r="S1063" s="3">
        <v>45.99</v>
      </c>
      <c r="T1063" s="3"/>
      <c r="U1063" s="3">
        <v>4.99</v>
      </c>
      <c r="V1063" s="3"/>
      <c r="W1063" s="3">
        <v>4.59</v>
      </c>
      <c r="X1063" s="2">
        <f t="shared" ref="X1063" si="2300">+S1063+T1063++U1063+V1063-W1063</f>
        <v>46.39</v>
      </c>
      <c r="Y1063" s="6">
        <f t="shared" ref="Y1063" si="2301">+Q1063-X1063</f>
        <v>15.089999999999996</v>
      </c>
      <c r="Z1063" s="2"/>
      <c r="AA1063" s="2"/>
      <c r="AB1063" s="2"/>
      <c r="AC1063" s="3"/>
      <c r="AD1063" s="2"/>
      <c r="AE1063" s="2"/>
      <c r="AF1063" s="2"/>
      <c r="AG1063" s="2"/>
      <c r="AH1063" s="2" t="s">
        <v>2015</v>
      </c>
      <c r="AI1063" s="2" t="s">
        <v>2014</v>
      </c>
      <c r="AJ1063" s="2"/>
      <c r="AK1063" s="2"/>
      <c r="AL1063" s="2"/>
      <c r="AM1063" s="2"/>
      <c r="AN1063" s="2"/>
      <c r="AO1063" s="2" t="s">
        <v>2170</v>
      </c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</row>
    <row r="1064" spans="2:58">
      <c r="C1064" s="1">
        <v>43921</v>
      </c>
      <c r="E1064" s="2" t="s">
        <v>1975</v>
      </c>
      <c r="F1064" s="2"/>
      <c r="G1064" s="2" t="s">
        <v>1984</v>
      </c>
      <c r="H1064" s="2" t="s">
        <v>1985</v>
      </c>
      <c r="I1064" s="2"/>
      <c r="J1064" s="2">
        <v>1</v>
      </c>
      <c r="K1064" s="2"/>
      <c r="L1064" s="3">
        <v>33.950000000000003</v>
      </c>
      <c r="M1064" s="3">
        <v>3.39</v>
      </c>
      <c r="N1064" s="3">
        <v>1.88</v>
      </c>
      <c r="O1064" s="3"/>
      <c r="P1064" s="3">
        <f>1.95-1.95</f>
        <v>0</v>
      </c>
      <c r="Q1064" s="6">
        <f t="shared" si="2165"/>
        <v>28.680000000000003</v>
      </c>
      <c r="R1064" s="3"/>
      <c r="S1064" s="3">
        <v>23.99</v>
      </c>
      <c r="T1064" s="3">
        <v>1.32</v>
      </c>
      <c r="U1064" s="3"/>
      <c r="V1064" s="3"/>
      <c r="W1064" s="3"/>
      <c r="X1064" s="2">
        <f t="shared" ref="X1064:X1066" si="2302">+S1064+T1064++U1064+V1064-W1064</f>
        <v>25.31</v>
      </c>
      <c r="Y1064" s="6">
        <f t="shared" ref="Y1064:Y1066" si="2303">+Q1064-X1064</f>
        <v>3.3700000000000045</v>
      </c>
      <c r="Z1064" s="2"/>
      <c r="AA1064" s="2"/>
      <c r="AB1064" s="2"/>
      <c r="AC1064" s="3"/>
      <c r="AD1064" s="2"/>
      <c r="AE1064" s="2"/>
      <c r="AF1064" s="2"/>
      <c r="AG1064" s="2"/>
      <c r="AH1064" s="2" t="s">
        <v>1987</v>
      </c>
      <c r="AI1064" s="2" t="s">
        <v>1986</v>
      </c>
      <c r="AJ1064" s="2"/>
      <c r="AK1064" s="2"/>
      <c r="AL1064" s="2"/>
      <c r="AM1064" s="2"/>
      <c r="AN1064" s="2"/>
      <c r="AO1064" s="16" t="s">
        <v>2013</v>
      </c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</row>
    <row r="1065" spans="2:58">
      <c r="C1065" s="1">
        <v>43921</v>
      </c>
      <c r="E1065" s="2" t="s">
        <v>1977</v>
      </c>
      <c r="F1065" s="2"/>
      <c r="G1065" s="2" t="s">
        <v>1990</v>
      </c>
      <c r="H1065" s="2" t="s">
        <v>1991</v>
      </c>
      <c r="I1065" s="2"/>
      <c r="J1065" s="2">
        <v>1</v>
      </c>
      <c r="K1065" s="2"/>
      <c r="L1065" s="3">
        <v>29</v>
      </c>
      <c r="M1065" s="3">
        <v>2.9</v>
      </c>
      <c r="N1065" s="3">
        <v>1.68</v>
      </c>
      <c r="O1065" s="3"/>
      <c r="P1065" s="3">
        <f>2.43-2.43</f>
        <v>0</v>
      </c>
      <c r="Q1065" s="6">
        <f t="shared" si="2165"/>
        <v>24.42</v>
      </c>
      <c r="R1065" s="3"/>
      <c r="S1065" s="3">
        <v>25.17</v>
      </c>
      <c r="T1065" s="3">
        <v>2.12</v>
      </c>
      <c r="U1065" s="3"/>
      <c r="V1065" s="3"/>
      <c r="W1065" s="3"/>
      <c r="X1065" s="3">
        <f t="shared" si="2302"/>
        <v>27.290000000000003</v>
      </c>
      <c r="Y1065" s="3">
        <f t="shared" si="2303"/>
        <v>-2.870000000000001</v>
      </c>
      <c r="Z1065" s="2"/>
      <c r="AA1065" s="2"/>
      <c r="AB1065" s="2"/>
      <c r="AC1065" s="3"/>
      <c r="AD1065" s="2"/>
      <c r="AE1065" s="2"/>
      <c r="AF1065" s="2"/>
      <c r="AG1065" s="2"/>
      <c r="AH1065" s="2" t="s">
        <v>1993</v>
      </c>
      <c r="AI1065" s="2" t="s">
        <v>1992</v>
      </c>
      <c r="AJ1065" s="2"/>
      <c r="AK1065" s="2"/>
      <c r="AL1065" s="2"/>
      <c r="AM1065" s="2"/>
      <c r="AN1065" s="2"/>
      <c r="AO1065" s="10" t="s">
        <v>2034</v>
      </c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</row>
    <row r="1066" spans="2:58">
      <c r="C1066" s="1">
        <v>43921</v>
      </c>
      <c r="E1066" s="2" t="s">
        <v>1849</v>
      </c>
      <c r="F1066" s="2"/>
      <c r="G1066" s="2" t="s">
        <v>1988</v>
      </c>
      <c r="H1066" s="2" t="s">
        <v>1989</v>
      </c>
      <c r="I1066" s="2"/>
      <c r="J1066" s="2">
        <v>1</v>
      </c>
      <c r="K1066" s="2"/>
      <c r="L1066" s="3">
        <v>36.799999999999997</v>
      </c>
      <c r="M1066" s="3">
        <v>3.68</v>
      </c>
      <c r="N1066" s="3">
        <v>2.06</v>
      </c>
      <c r="O1066" s="3"/>
      <c r="P1066" s="3">
        <v>3.16</v>
      </c>
      <c r="Q1066" s="6">
        <f t="shared" si="2165"/>
        <v>34.22</v>
      </c>
      <c r="R1066" s="3"/>
      <c r="S1066" s="3">
        <v>35.049999999999997</v>
      </c>
      <c r="T1066" s="3">
        <v>2.8</v>
      </c>
      <c r="U1066" s="3"/>
      <c r="V1066" s="3"/>
      <c r="W1066" s="3"/>
      <c r="X1066" s="3">
        <f t="shared" si="2302"/>
        <v>37.849999999999994</v>
      </c>
      <c r="Y1066" s="3">
        <f t="shared" si="2303"/>
        <v>-3.6299999999999955</v>
      </c>
      <c r="Z1066" s="2"/>
      <c r="AA1066" s="2"/>
      <c r="AB1066" s="2"/>
      <c r="AC1066" s="3"/>
      <c r="AD1066" s="2"/>
      <c r="AE1066" s="2"/>
      <c r="AF1066" s="2"/>
      <c r="AG1066" s="2"/>
      <c r="AH1066" s="2" t="s">
        <v>2035</v>
      </c>
      <c r="AI1066" s="2" t="s">
        <v>2036</v>
      </c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</row>
    <row r="1067" spans="2:58">
      <c r="C1067" s="1">
        <v>43920</v>
      </c>
      <c r="E1067" s="2" t="s">
        <v>2074</v>
      </c>
      <c r="F1067" s="2"/>
      <c r="G1067" s="2" t="s">
        <v>1965</v>
      </c>
      <c r="H1067" s="2" t="s">
        <v>1966</v>
      </c>
      <c r="I1067" s="2"/>
      <c r="J1067" s="2">
        <v>1</v>
      </c>
      <c r="K1067" s="2"/>
      <c r="L1067" s="3">
        <v>72.5</v>
      </c>
      <c r="M1067" s="3">
        <v>7.25</v>
      </c>
      <c r="N1067" s="3">
        <v>3.75</v>
      </c>
      <c r="O1067" s="3"/>
      <c r="P1067" s="3">
        <f>5.98-5.98</f>
        <v>0</v>
      </c>
      <c r="Q1067" s="6">
        <f t="shared" si="2165"/>
        <v>61.5</v>
      </c>
      <c r="R1067" s="3"/>
      <c r="S1067" s="3">
        <v>45.99</v>
      </c>
      <c r="T1067" s="3"/>
      <c r="U1067" s="3">
        <v>4.99</v>
      </c>
      <c r="V1067" s="3"/>
      <c r="W1067" s="3">
        <v>4.59</v>
      </c>
      <c r="X1067" s="2">
        <f t="shared" ref="X1067" si="2304">+S1067+T1067++U1067+V1067-W1067</f>
        <v>46.39</v>
      </c>
      <c r="Y1067" s="6">
        <f t="shared" ref="Y1067" si="2305">+Q1067-X1067</f>
        <v>15.11</v>
      </c>
      <c r="Z1067" s="2"/>
      <c r="AA1067" s="2"/>
      <c r="AB1067" s="2"/>
      <c r="AC1067" s="3"/>
      <c r="AD1067" s="2"/>
      <c r="AE1067" s="2"/>
      <c r="AF1067" s="2"/>
      <c r="AG1067" s="2"/>
      <c r="AH1067" s="2" t="s">
        <v>1968</v>
      </c>
      <c r="AI1067" s="2" t="s">
        <v>1967</v>
      </c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</row>
    <row r="1068" spans="2:58">
      <c r="B1068" s="20" t="s">
        <v>1370</v>
      </c>
      <c r="C1068" s="1">
        <v>43919</v>
      </c>
      <c r="E1068" s="2" t="s">
        <v>1923</v>
      </c>
      <c r="F1068" s="2"/>
      <c r="G1068" s="2" t="s">
        <v>1925</v>
      </c>
      <c r="H1068" s="2" t="s">
        <v>1926</v>
      </c>
      <c r="I1068" s="2"/>
      <c r="J1068" s="2">
        <v>1</v>
      </c>
      <c r="K1068" s="2"/>
      <c r="L1068" s="3">
        <v>13</v>
      </c>
      <c r="M1068" s="3">
        <v>1.3</v>
      </c>
      <c r="N1068" s="3">
        <v>0.93</v>
      </c>
      <c r="O1068" s="3"/>
      <c r="P1068" s="3">
        <f>1.24-1.24</f>
        <v>0</v>
      </c>
      <c r="Q1068" s="6">
        <f t="shared" si="2165"/>
        <v>10.77</v>
      </c>
      <c r="R1068" s="3"/>
      <c r="S1068" s="3">
        <v>3.28</v>
      </c>
      <c r="T1068" s="3">
        <v>0.31</v>
      </c>
      <c r="U1068" s="3">
        <v>2.15</v>
      </c>
      <c r="V1068" s="3"/>
      <c r="W1068" s="3"/>
      <c r="X1068" s="2">
        <f t="shared" ref="X1068" si="2306">+S1068+T1068++U1068+V1068-W1068</f>
        <v>5.74</v>
      </c>
      <c r="Y1068" s="6">
        <f t="shared" ref="Y1068" si="2307">+Q1068-X1068</f>
        <v>5.0299999999999994</v>
      </c>
      <c r="Z1068" s="2"/>
      <c r="AA1068" s="2"/>
      <c r="AB1068" s="2"/>
      <c r="AC1068" s="3"/>
      <c r="AD1068" s="2"/>
      <c r="AE1068" s="2"/>
      <c r="AF1068" s="2"/>
      <c r="AG1068" s="2"/>
      <c r="AH1068" s="2" t="s">
        <v>1928</v>
      </c>
      <c r="AI1068" s="2" t="s">
        <v>1927</v>
      </c>
      <c r="AJ1068" s="2"/>
      <c r="AK1068" s="2"/>
      <c r="AL1068" s="2"/>
      <c r="AM1068" s="2"/>
      <c r="AN1068" s="2"/>
      <c r="AO1068" s="16" t="s">
        <v>1924</v>
      </c>
      <c r="AP1068" s="2"/>
      <c r="AQ1068" s="2"/>
      <c r="AR1068" s="19" t="s">
        <v>3795</v>
      </c>
      <c r="AS1068" s="16" t="s">
        <v>5359</v>
      </c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</row>
    <row r="1069" spans="2:58">
      <c r="B1069" s="15"/>
      <c r="C1069" s="1">
        <v>43919</v>
      </c>
      <c r="E1069" s="2" t="s">
        <v>1837</v>
      </c>
      <c r="F1069" s="2"/>
      <c r="G1069" s="2" t="s">
        <v>1940</v>
      </c>
      <c r="H1069" s="2" t="s">
        <v>1941</v>
      </c>
      <c r="I1069" s="2"/>
      <c r="J1069" s="2">
        <v>1</v>
      </c>
      <c r="K1069" s="2"/>
      <c r="L1069" s="3">
        <v>21.5</v>
      </c>
      <c r="M1069" s="3">
        <v>2.15</v>
      </c>
      <c r="N1069" s="3">
        <v>1.31</v>
      </c>
      <c r="O1069" s="3"/>
      <c r="P1069" s="3">
        <v>1.51</v>
      </c>
      <c r="Q1069" s="6">
        <f t="shared" si="2165"/>
        <v>19.550000000000004</v>
      </c>
      <c r="R1069" s="3"/>
      <c r="S1069" s="3">
        <v>16.5</v>
      </c>
      <c r="T1069" s="3"/>
      <c r="U1069" s="3"/>
      <c r="V1069" s="3"/>
      <c r="W1069" s="3"/>
      <c r="X1069" s="2">
        <f t="shared" ref="X1069" si="2308">+S1069+T1069++U1069+V1069-W1069</f>
        <v>16.5</v>
      </c>
      <c r="Y1069" s="6">
        <f t="shared" ref="Y1069" si="2309">+Q1069-X1069</f>
        <v>3.0500000000000043</v>
      </c>
      <c r="Z1069" s="2"/>
      <c r="AA1069" s="2"/>
      <c r="AB1069" s="2"/>
      <c r="AC1069" s="3"/>
      <c r="AD1069" s="2"/>
      <c r="AE1069" s="2"/>
      <c r="AF1069" s="2"/>
      <c r="AG1069" s="2"/>
      <c r="AH1069" s="2" t="s">
        <v>1943</v>
      </c>
      <c r="AI1069" s="2" t="s">
        <v>1942</v>
      </c>
      <c r="AJ1069" s="2"/>
      <c r="AK1069" s="2"/>
      <c r="AL1069" s="2"/>
      <c r="AM1069" s="2"/>
      <c r="AN1069" s="2"/>
      <c r="AO1069" s="16" t="s">
        <v>1994</v>
      </c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</row>
    <row r="1070" spans="2:58">
      <c r="C1070" s="1">
        <v>43918</v>
      </c>
      <c r="E1070" s="2" t="s">
        <v>1952</v>
      </c>
      <c r="F1070" s="2"/>
      <c r="G1070" s="2" t="s">
        <v>1953</v>
      </c>
      <c r="H1070" s="2" t="s">
        <v>1954</v>
      </c>
      <c r="I1070" s="2"/>
      <c r="J1070" s="2">
        <v>1</v>
      </c>
      <c r="K1070" s="2"/>
      <c r="L1070" s="3">
        <v>18</v>
      </c>
      <c r="M1070" s="3">
        <v>1.8</v>
      </c>
      <c r="N1070" s="3">
        <v>1.1399999999999999</v>
      </c>
      <c r="O1070" s="3"/>
      <c r="P1070" s="3">
        <f>0.99-0.99</f>
        <v>0</v>
      </c>
      <c r="Q1070" s="6">
        <f t="shared" si="2165"/>
        <v>15.059999999999999</v>
      </c>
      <c r="R1070" s="3"/>
      <c r="S1070" s="3">
        <v>12.33</v>
      </c>
      <c r="T1070" s="3">
        <v>0.68</v>
      </c>
      <c r="U1070" s="3"/>
      <c r="V1070" s="3"/>
      <c r="W1070" s="3"/>
      <c r="X1070" s="2">
        <f t="shared" ref="X1070" si="2310">+S1070+T1070++U1070+V1070-W1070</f>
        <v>13.01</v>
      </c>
      <c r="Y1070" s="6">
        <f t="shared" ref="Y1070" si="2311">+Q1070-X1070</f>
        <v>2.0499999999999989</v>
      </c>
      <c r="Z1070" s="2"/>
      <c r="AA1070" s="2"/>
      <c r="AB1070" s="2"/>
      <c r="AC1070" s="3"/>
      <c r="AD1070" s="2"/>
      <c r="AE1070" s="2"/>
      <c r="AF1070" s="2"/>
      <c r="AG1070" s="2"/>
      <c r="AH1070" s="2" t="s">
        <v>1980</v>
      </c>
      <c r="AI1070" s="2" t="s">
        <v>1979</v>
      </c>
      <c r="AJ1070" s="2"/>
      <c r="AK1070" s="2"/>
      <c r="AL1070" s="2"/>
      <c r="AM1070" s="2"/>
      <c r="AN1070" s="2"/>
      <c r="AO1070" s="16" t="s">
        <v>1978</v>
      </c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</row>
    <row r="1071" spans="2:58">
      <c r="C1071" s="1">
        <v>43918</v>
      </c>
      <c r="E1071" s="2" t="s">
        <v>393</v>
      </c>
      <c r="F1071" s="2"/>
      <c r="G1071" s="2" t="s">
        <v>1944</v>
      </c>
      <c r="H1071" s="2" t="s">
        <v>1945</v>
      </c>
      <c r="I1071" s="2"/>
      <c r="J1071" s="2">
        <v>1</v>
      </c>
      <c r="K1071" s="2"/>
      <c r="L1071" s="3">
        <v>51.36</v>
      </c>
      <c r="M1071" s="3">
        <v>5.13</v>
      </c>
      <c r="N1071" s="3">
        <v>2.75</v>
      </c>
      <c r="O1071" s="3"/>
      <c r="P1071" s="3">
        <f>4.24-4.24</f>
        <v>0</v>
      </c>
      <c r="Q1071" s="6">
        <f t="shared" si="2165"/>
        <v>43.48</v>
      </c>
      <c r="R1071" s="3"/>
      <c r="S1071" s="3">
        <v>33.99</v>
      </c>
      <c r="T1071" s="3">
        <v>2.81</v>
      </c>
      <c r="U1071" s="3"/>
      <c r="V1071" s="3"/>
      <c r="W1071" s="3"/>
      <c r="X1071" s="2">
        <f t="shared" ref="X1071" si="2312">+S1071+T1071++U1071+V1071-W1071</f>
        <v>36.800000000000004</v>
      </c>
      <c r="Y1071" s="6">
        <f t="shared" ref="Y1071" si="2313">+Q1071-X1071</f>
        <v>6.6799999999999926</v>
      </c>
      <c r="Z1071" s="2"/>
      <c r="AA1071" s="2"/>
      <c r="AB1071" s="2"/>
      <c r="AC1071" s="3"/>
      <c r="AD1071" s="2"/>
      <c r="AE1071" s="2"/>
      <c r="AF1071" s="2"/>
      <c r="AG1071" s="2"/>
      <c r="AH1071" s="2" t="s">
        <v>1947</v>
      </c>
      <c r="AI1071" s="2" t="s">
        <v>1946</v>
      </c>
      <c r="AJ1071" s="2"/>
      <c r="AK1071" s="2"/>
      <c r="AL1071" s="2"/>
      <c r="AM1071" s="2"/>
      <c r="AN1071" s="2"/>
      <c r="AO1071" s="16" t="s">
        <v>1981</v>
      </c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</row>
    <row r="1072" spans="2:58">
      <c r="C1072" s="1">
        <v>43918</v>
      </c>
      <c r="E1072" s="2" t="s">
        <v>1922</v>
      </c>
      <c r="F1072" s="2"/>
      <c r="G1072" s="2" t="s">
        <v>1948</v>
      </c>
      <c r="H1072" s="2" t="s">
        <v>1949</v>
      </c>
      <c r="I1072" s="2"/>
      <c r="J1072" s="2">
        <v>1</v>
      </c>
      <c r="K1072" s="2"/>
      <c r="L1072" s="3">
        <v>15.35</v>
      </c>
      <c r="M1072" s="3">
        <v>1.53</v>
      </c>
      <c r="N1072" s="3">
        <v>1.02</v>
      </c>
      <c r="O1072" s="3"/>
      <c r="P1072" s="3">
        <v>1.07</v>
      </c>
      <c r="Q1072" s="6">
        <f t="shared" si="2165"/>
        <v>13.870000000000001</v>
      </c>
      <c r="R1072" s="3"/>
      <c r="S1072" s="3">
        <v>11.97</v>
      </c>
      <c r="T1072" s="3">
        <v>0.48</v>
      </c>
      <c r="U1072" s="3"/>
      <c r="V1072" s="3"/>
      <c r="W1072" s="3"/>
      <c r="X1072" s="2">
        <f t="shared" ref="X1072" si="2314">+S1072+T1072++U1072+V1072-W1072</f>
        <v>12.450000000000001</v>
      </c>
      <c r="Y1072" s="6">
        <f t="shared" ref="Y1072" si="2315">+Q1072-X1072</f>
        <v>1.42</v>
      </c>
      <c r="Z1072" s="2"/>
      <c r="AA1072" s="2"/>
      <c r="AB1072" s="2"/>
      <c r="AC1072" s="3"/>
      <c r="AD1072" s="2"/>
      <c r="AE1072" s="2"/>
      <c r="AF1072" s="2"/>
      <c r="AG1072" s="2"/>
      <c r="AH1072" s="2" t="s">
        <v>1951</v>
      </c>
      <c r="AI1072" s="2" t="s">
        <v>1950</v>
      </c>
      <c r="AJ1072" s="2"/>
      <c r="AK1072" s="2"/>
      <c r="AL1072" s="2"/>
      <c r="AM1072" s="2"/>
      <c r="AN1072" s="2"/>
      <c r="AO1072" s="2" t="s">
        <v>1976</v>
      </c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</row>
    <row r="1073" spans="2:58">
      <c r="C1073" s="1">
        <v>43918</v>
      </c>
      <c r="E1073" s="2" t="s">
        <v>1886</v>
      </c>
      <c r="F1073" s="2"/>
      <c r="G1073" s="2" t="s">
        <v>1920</v>
      </c>
      <c r="H1073" s="2" t="s">
        <v>1921</v>
      </c>
      <c r="I1073" s="2"/>
      <c r="J1073" s="2">
        <v>1</v>
      </c>
      <c r="K1073" s="2"/>
      <c r="L1073" s="3">
        <v>83.5</v>
      </c>
      <c r="M1073" s="3">
        <v>8.35</v>
      </c>
      <c r="N1073" s="3">
        <v>4.18</v>
      </c>
      <c r="O1073" s="3"/>
      <c r="P1073" s="3">
        <f>4.68-4.68</f>
        <v>0</v>
      </c>
      <c r="Q1073" s="6">
        <f t="shared" si="2165"/>
        <v>70.97</v>
      </c>
      <c r="R1073" s="3"/>
      <c r="S1073" s="3">
        <v>65.19</v>
      </c>
      <c r="T1073" s="3">
        <v>4.1100000000000003</v>
      </c>
      <c r="U1073" s="3"/>
      <c r="V1073" s="3"/>
      <c r="W1073" s="3">
        <v>6.52</v>
      </c>
      <c r="X1073" s="2">
        <f t="shared" ref="X1073" si="2316">+S1073+T1073++U1073+V1073-W1073</f>
        <v>62.78</v>
      </c>
      <c r="Y1073" s="6">
        <f t="shared" ref="Y1073" si="2317">+Q1073-X1073</f>
        <v>8.1899999999999977</v>
      </c>
      <c r="Z1073" s="2"/>
      <c r="AA1073" s="2"/>
      <c r="AB1073" s="2"/>
      <c r="AC1073" s="3"/>
      <c r="AD1073" s="2"/>
      <c r="AE1073" s="2"/>
      <c r="AF1073" s="2"/>
      <c r="AG1073" s="2"/>
      <c r="AH1073" s="2" t="s">
        <v>1973</v>
      </c>
      <c r="AI1073" s="2" t="s">
        <v>1972</v>
      </c>
      <c r="AJ1073" s="2"/>
      <c r="AK1073" s="2"/>
      <c r="AL1073" s="2"/>
      <c r="AM1073" s="2"/>
      <c r="AN1073" s="2"/>
      <c r="AO1073" s="16" t="s">
        <v>1974</v>
      </c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</row>
    <row r="1074" spans="2:58">
      <c r="B1074" s="37" t="s">
        <v>1370</v>
      </c>
      <c r="C1074" s="1">
        <v>43917</v>
      </c>
      <c r="E1074" s="2" t="s">
        <v>1917</v>
      </c>
      <c r="F1074" s="2"/>
      <c r="G1074" s="2" t="s">
        <v>1935</v>
      </c>
      <c r="H1074" s="2" t="s">
        <v>1936</v>
      </c>
      <c r="I1074" s="2"/>
      <c r="J1074" s="2">
        <v>1</v>
      </c>
      <c r="K1074" s="2"/>
      <c r="L1074" s="3">
        <v>13.5</v>
      </c>
      <c r="M1074" s="3">
        <v>1.35</v>
      </c>
      <c r="N1074" s="3">
        <v>0.94</v>
      </c>
      <c r="O1074" s="3"/>
      <c r="P1074" s="3">
        <f>0.98-0.98</f>
        <v>0</v>
      </c>
      <c r="Q1074" s="6">
        <f t="shared" si="2165"/>
        <v>11.21</v>
      </c>
      <c r="R1074" s="3"/>
      <c r="S1074" s="3">
        <v>3.07</v>
      </c>
      <c r="T1074" s="3">
        <v>0.38</v>
      </c>
      <c r="U1074" s="3">
        <v>2.15</v>
      </c>
      <c r="V1074" s="3"/>
      <c r="W1074" s="3"/>
      <c r="X1074" s="2">
        <f t="shared" ref="X1074" si="2318">+S1074+T1074++U1074+V1074-W1074</f>
        <v>5.6</v>
      </c>
      <c r="Y1074" s="6">
        <f t="shared" ref="Y1074" si="2319">+Q1074-X1074</f>
        <v>5.6100000000000012</v>
      </c>
      <c r="Z1074" s="2"/>
      <c r="AA1074" s="2"/>
      <c r="AB1074" s="2"/>
      <c r="AC1074" s="3"/>
      <c r="AD1074" s="2"/>
      <c r="AE1074" s="2"/>
      <c r="AF1074" s="2"/>
      <c r="AG1074" s="2"/>
      <c r="AH1074" s="2" t="s">
        <v>1938</v>
      </c>
      <c r="AI1074" s="2" t="s">
        <v>1937</v>
      </c>
      <c r="AJ1074" s="2"/>
      <c r="AK1074" s="2"/>
      <c r="AL1074" s="2" t="s">
        <v>5821</v>
      </c>
      <c r="AM1074" s="2" t="s">
        <v>5820</v>
      </c>
      <c r="AN1074" s="2"/>
      <c r="AO1074" s="16" t="s">
        <v>1939</v>
      </c>
      <c r="AP1074" s="2"/>
      <c r="AQ1074" s="2"/>
      <c r="AR1074" s="16" t="s">
        <v>8428</v>
      </c>
      <c r="AS1074" s="2" t="s">
        <v>8429</v>
      </c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</row>
    <row r="1075" spans="2:58">
      <c r="C1075" s="1">
        <v>43917</v>
      </c>
      <c r="E1075" s="2" t="s">
        <v>1789</v>
      </c>
      <c r="F1075" s="2"/>
      <c r="G1075" s="2" t="s">
        <v>1914</v>
      </c>
      <c r="H1075" s="2" t="s">
        <v>1915</v>
      </c>
      <c r="I1075" s="2"/>
      <c r="J1075" s="2">
        <v>2</v>
      </c>
      <c r="K1075" s="2"/>
      <c r="L1075" s="3">
        <v>59</v>
      </c>
      <c r="M1075" s="3">
        <v>5.9</v>
      </c>
      <c r="N1075" s="3">
        <v>3.04</v>
      </c>
      <c r="O1075" s="3"/>
      <c r="P1075" s="3">
        <f>3.25-3.25</f>
        <v>0</v>
      </c>
      <c r="Q1075" s="6">
        <f t="shared" si="2165"/>
        <v>50.06</v>
      </c>
      <c r="R1075" s="3"/>
      <c r="S1075" s="3">
        <v>29.96</v>
      </c>
      <c r="T1075" s="3">
        <v>1.65</v>
      </c>
      <c r="U1075" s="3"/>
      <c r="V1075" s="3"/>
      <c r="W1075" s="3"/>
      <c r="X1075" s="2">
        <f t="shared" ref="X1075" si="2320">+S1075+T1075++U1075+V1075-W1075</f>
        <v>31.61</v>
      </c>
      <c r="Y1075" s="6">
        <f t="shared" ref="Y1075" si="2321">+Q1075-X1075</f>
        <v>18.450000000000003</v>
      </c>
      <c r="Z1075" s="2"/>
      <c r="AA1075" s="2"/>
      <c r="AB1075" s="2"/>
      <c r="AC1075" s="3"/>
      <c r="AD1075" s="2"/>
      <c r="AE1075" s="2"/>
      <c r="AF1075" s="2"/>
      <c r="AG1075" s="2"/>
      <c r="AH1075" s="2" t="s">
        <v>1997</v>
      </c>
      <c r="AI1075" s="2" t="s">
        <v>1996</v>
      </c>
      <c r="AJ1075" s="2"/>
      <c r="AK1075" s="2"/>
      <c r="AL1075" s="2"/>
      <c r="AM1075" s="2"/>
      <c r="AN1075" s="2"/>
      <c r="AO1075" s="16" t="s">
        <v>1995</v>
      </c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</row>
    <row r="1076" spans="2:58">
      <c r="C1076" s="1">
        <v>43916</v>
      </c>
      <c r="E1076" s="2" t="s">
        <v>1789</v>
      </c>
      <c r="F1076" s="2"/>
      <c r="G1076" s="2" t="s">
        <v>1909</v>
      </c>
      <c r="H1076" s="2" t="s">
        <v>1910</v>
      </c>
      <c r="I1076" s="2"/>
      <c r="J1076" s="2">
        <v>1</v>
      </c>
      <c r="K1076" s="2"/>
      <c r="L1076" s="3">
        <v>29.5</v>
      </c>
      <c r="M1076" s="3">
        <v>2.95</v>
      </c>
      <c r="N1076" s="3">
        <v>1.69</v>
      </c>
      <c r="O1076" s="3"/>
      <c r="P1076" s="3">
        <v>2.0699999999999998</v>
      </c>
      <c r="Q1076" s="6">
        <f t="shared" si="2165"/>
        <v>26.93</v>
      </c>
      <c r="R1076" s="3"/>
      <c r="S1076" s="3">
        <v>14.98</v>
      </c>
      <c r="T1076" s="3">
        <v>1.05</v>
      </c>
      <c r="U1076" s="3"/>
      <c r="V1076" s="3"/>
      <c r="W1076" s="3"/>
      <c r="X1076" s="2">
        <f t="shared" ref="X1076" si="2322">+S1076+T1076++U1076+V1076-W1076</f>
        <v>16.03</v>
      </c>
      <c r="Y1076" s="6">
        <f t="shared" ref="Y1076" si="2323">+Q1076-X1076</f>
        <v>10.899999999999999</v>
      </c>
      <c r="Z1076" s="2"/>
      <c r="AA1076" s="2"/>
      <c r="AB1076" s="2"/>
      <c r="AC1076" s="3"/>
      <c r="AD1076" s="2"/>
      <c r="AE1076" s="2"/>
      <c r="AF1076" s="2"/>
      <c r="AG1076" s="2"/>
      <c r="AH1076" s="2" t="s">
        <v>1911</v>
      </c>
      <c r="AI1076" s="2" t="s">
        <v>1912</v>
      </c>
      <c r="AJ1076" s="2"/>
      <c r="AK1076" s="2"/>
      <c r="AL1076" s="2"/>
      <c r="AM1076" s="2"/>
      <c r="AN1076" s="2"/>
      <c r="AO1076" s="2" t="s">
        <v>1913</v>
      </c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</row>
    <row r="1077" spans="2:58">
      <c r="C1077" s="1">
        <v>43916</v>
      </c>
      <c r="E1077" s="2" t="s">
        <v>393</v>
      </c>
      <c r="F1077" s="2"/>
      <c r="G1077" s="2" t="s">
        <v>1904</v>
      </c>
      <c r="H1077" s="2" t="s">
        <v>1905</v>
      </c>
      <c r="I1077" s="2"/>
      <c r="J1077" s="2">
        <v>1</v>
      </c>
      <c r="K1077" s="2"/>
      <c r="L1077" s="3">
        <v>51.36</v>
      </c>
      <c r="M1077" s="3">
        <v>5.13</v>
      </c>
      <c r="N1077" s="3">
        <v>2.72</v>
      </c>
      <c r="O1077" s="3"/>
      <c r="P1077" s="3">
        <v>3.6</v>
      </c>
      <c r="Q1077" s="6">
        <f t="shared" si="2165"/>
        <v>47.11</v>
      </c>
      <c r="R1077" s="3"/>
      <c r="S1077" s="3">
        <v>33.99</v>
      </c>
      <c r="T1077" s="3">
        <v>2.72</v>
      </c>
      <c r="U1077" s="3"/>
      <c r="V1077" s="3"/>
      <c r="W1077" s="3"/>
      <c r="X1077" s="2">
        <f t="shared" ref="X1077:X1078" si="2324">+S1077+T1077++U1077+V1077-W1077</f>
        <v>36.71</v>
      </c>
      <c r="Y1077" s="6">
        <f t="shared" ref="Y1077:Y1078" si="2325">+Q1077-X1077</f>
        <v>10.399999999999999</v>
      </c>
      <c r="Z1077" s="2"/>
      <c r="AA1077" s="2"/>
      <c r="AB1077" s="2"/>
      <c r="AC1077" s="3"/>
      <c r="AD1077" s="2"/>
      <c r="AE1077" s="2"/>
      <c r="AF1077" s="2"/>
      <c r="AG1077" s="2"/>
      <c r="AH1077" s="2" t="s">
        <v>1907</v>
      </c>
      <c r="AI1077" s="2" t="s">
        <v>1906</v>
      </c>
      <c r="AJ1077" s="2"/>
      <c r="AK1077" s="2"/>
      <c r="AL1077" s="2"/>
      <c r="AM1077" s="2"/>
      <c r="AN1077" s="2"/>
      <c r="AO1077" s="2" t="s">
        <v>1908</v>
      </c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</row>
    <row r="1078" spans="2:58">
      <c r="C1078" s="1">
        <v>43916</v>
      </c>
      <c r="E1078" s="2" t="s">
        <v>1886</v>
      </c>
      <c r="F1078" s="2"/>
      <c r="G1078" s="2" t="s">
        <v>1918</v>
      </c>
      <c r="H1078" s="2" t="s">
        <v>1919</v>
      </c>
      <c r="I1078" s="2"/>
      <c r="J1078" s="2">
        <v>1</v>
      </c>
      <c r="K1078" s="2"/>
      <c r="L1078" s="3">
        <v>83.5</v>
      </c>
      <c r="M1078" s="3">
        <v>8.35</v>
      </c>
      <c r="N1078" s="3">
        <v>4.2300000000000004</v>
      </c>
      <c r="O1078" s="3"/>
      <c r="P1078" s="3">
        <f>5.85-5.85</f>
        <v>0</v>
      </c>
      <c r="Q1078" s="6">
        <f t="shared" si="2165"/>
        <v>70.92</v>
      </c>
      <c r="R1078" s="3"/>
      <c r="S1078" s="3">
        <v>65.19</v>
      </c>
      <c r="T1078" s="3">
        <v>4.5599999999999996</v>
      </c>
      <c r="U1078" s="3"/>
      <c r="V1078" s="3"/>
      <c r="W1078" s="3">
        <v>6.52</v>
      </c>
      <c r="X1078" s="3">
        <f t="shared" si="2324"/>
        <v>63.230000000000004</v>
      </c>
      <c r="Y1078" s="3">
        <f t="shared" si="2325"/>
        <v>7.6899999999999977</v>
      </c>
      <c r="Z1078" s="2"/>
      <c r="AA1078" s="2"/>
      <c r="AB1078" s="2"/>
      <c r="AC1078" s="3"/>
      <c r="AD1078" s="2"/>
      <c r="AE1078" s="2"/>
      <c r="AF1078" s="2"/>
      <c r="AG1078" s="2"/>
      <c r="AH1078" s="2" t="s">
        <v>1956</v>
      </c>
      <c r="AI1078" s="2" t="s">
        <v>1955</v>
      </c>
      <c r="AJ1078" s="2"/>
      <c r="AK1078" s="2"/>
      <c r="AL1078" s="2"/>
      <c r="AM1078" s="2"/>
      <c r="AN1078" s="2"/>
      <c r="AO1078" s="16" t="s">
        <v>1960</v>
      </c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</row>
    <row r="1079" spans="2:58">
      <c r="C1079" s="1">
        <v>43915</v>
      </c>
      <c r="E1079" s="2" t="s">
        <v>1885</v>
      </c>
      <c r="F1079" s="2"/>
      <c r="G1079" s="2" t="s">
        <v>1889</v>
      </c>
      <c r="H1079" s="2" t="s">
        <v>1890</v>
      </c>
      <c r="I1079" s="2"/>
      <c r="J1079" s="2">
        <v>1</v>
      </c>
      <c r="K1079" s="2"/>
      <c r="L1079" s="3">
        <v>83.5</v>
      </c>
      <c r="M1079" s="3">
        <v>8.35</v>
      </c>
      <c r="N1079" s="3">
        <v>4.3</v>
      </c>
      <c r="O1079" s="3"/>
      <c r="P1079" s="3">
        <f>7.52-7.52</f>
        <v>0</v>
      </c>
      <c r="Q1079" s="6">
        <f t="shared" si="2165"/>
        <v>70.850000000000009</v>
      </c>
      <c r="R1079" s="3"/>
      <c r="S1079" s="3">
        <v>65.19</v>
      </c>
      <c r="T1079" s="3">
        <v>5.87</v>
      </c>
      <c r="U1079" s="3"/>
      <c r="V1079" s="3"/>
      <c r="W1079" s="3">
        <v>6.52</v>
      </c>
      <c r="X1079" s="2">
        <f t="shared" ref="X1079" si="2326">+S1079+T1079++U1079+V1079-W1079</f>
        <v>64.540000000000006</v>
      </c>
      <c r="Y1079" s="6">
        <f t="shared" ref="Y1079" si="2327">+Q1079-X1079</f>
        <v>6.3100000000000023</v>
      </c>
      <c r="Z1079" s="2"/>
      <c r="AA1079" s="2"/>
      <c r="AB1079" s="2"/>
      <c r="AC1079" s="3"/>
      <c r="AD1079" s="2"/>
      <c r="AE1079" s="2"/>
      <c r="AF1079" s="2"/>
      <c r="AG1079" s="2"/>
      <c r="AH1079" s="2" t="s">
        <v>1959</v>
      </c>
      <c r="AI1079" s="2" t="s">
        <v>1958</v>
      </c>
      <c r="AJ1079" s="2"/>
      <c r="AK1079" s="2"/>
      <c r="AL1079" s="2"/>
      <c r="AM1079" s="2"/>
      <c r="AN1079" s="2"/>
      <c r="AO1079" s="16" t="s">
        <v>1957</v>
      </c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</row>
    <row r="1080" spans="2:58">
      <c r="C1080" s="1">
        <v>43915</v>
      </c>
      <c r="E1080" s="2" t="s">
        <v>1789</v>
      </c>
      <c r="F1080" s="2"/>
      <c r="G1080" s="2" t="s">
        <v>1896</v>
      </c>
      <c r="H1080" s="2" t="s">
        <v>1897</v>
      </c>
      <c r="I1080" s="2"/>
      <c r="J1080" s="2">
        <v>2</v>
      </c>
      <c r="K1080" s="2"/>
      <c r="L1080" s="3">
        <v>59</v>
      </c>
      <c r="M1080" s="3">
        <v>5.9</v>
      </c>
      <c r="N1080" s="3">
        <v>3.11</v>
      </c>
      <c r="O1080" s="3"/>
      <c r="P1080" s="3">
        <f>4.96-4.96</f>
        <v>0</v>
      </c>
      <c r="Q1080" s="6">
        <f t="shared" si="2165"/>
        <v>49.99</v>
      </c>
      <c r="R1080" s="3"/>
      <c r="S1080" s="3">
        <v>29.96</v>
      </c>
      <c r="T1080" s="3">
        <v>2.52</v>
      </c>
      <c r="U1080" s="3"/>
      <c r="V1080" s="3">
        <v>0</v>
      </c>
      <c r="W1080" s="3"/>
      <c r="X1080" s="2">
        <f t="shared" ref="X1080" si="2328">+S1080+T1080++U1080+V1080-W1080</f>
        <v>32.480000000000004</v>
      </c>
      <c r="Y1080" s="6">
        <f t="shared" ref="Y1080" si="2329">+Q1080-X1080</f>
        <v>17.509999999999998</v>
      </c>
      <c r="Z1080" s="2"/>
      <c r="AA1080" s="2"/>
      <c r="AB1080" s="2"/>
      <c r="AC1080" s="3"/>
      <c r="AD1080" s="2"/>
      <c r="AE1080" s="2"/>
      <c r="AF1080" s="2"/>
      <c r="AG1080" s="2"/>
      <c r="AH1080" s="2" t="s">
        <v>1902</v>
      </c>
      <c r="AI1080" s="2" t="s">
        <v>1901</v>
      </c>
      <c r="AJ1080" s="2"/>
      <c r="AK1080" s="2"/>
      <c r="AL1080" s="2"/>
      <c r="AM1080" s="2"/>
      <c r="AN1080" s="2"/>
      <c r="AO1080" s="2" t="s">
        <v>1903</v>
      </c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</row>
    <row r="1081" spans="2:58">
      <c r="C1081" s="1">
        <v>43914</v>
      </c>
      <c r="E1081" s="2" t="s">
        <v>1891</v>
      </c>
      <c r="F1081" s="2"/>
      <c r="G1081" s="2" t="s">
        <v>1892</v>
      </c>
      <c r="H1081" s="2" t="s">
        <v>1893</v>
      </c>
      <c r="I1081" s="2"/>
      <c r="J1081" s="2">
        <v>1</v>
      </c>
      <c r="K1081" s="2"/>
      <c r="L1081" s="3">
        <v>22.5</v>
      </c>
      <c r="M1081" s="3">
        <v>2.25</v>
      </c>
      <c r="N1081" s="3">
        <v>1.35</v>
      </c>
      <c r="O1081" s="3"/>
      <c r="P1081" s="3">
        <f>1.35-1.35</f>
        <v>0</v>
      </c>
      <c r="Q1081" s="6">
        <f t="shared" si="2165"/>
        <v>18.899999999999999</v>
      </c>
      <c r="R1081" s="3"/>
      <c r="S1081" s="3">
        <v>11.24</v>
      </c>
      <c r="T1081" s="3">
        <v>0.67</v>
      </c>
      <c r="U1081" s="3">
        <v>0</v>
      </c>
      <c r="V1081" s="3"/>
      <c r="W1081" s="3"/>
      <c r="X1081" s="2">
        <f t="shared" ref="X1081" si="2330">+S1081+T1081++U1081+V1081-W1081</f>
        <v>11.91</v>
      </c>
      <c r="Y1081" s="6">
        <f t="shared" ref="Y1081" si="2331">+Q1081-X1081</f>
        <v>6.9899999999999984</v>
      </c>
      <c r="Z1081" s="2"/>
      <c r="AA1081" s="2"/>
      <c r="AB1081" s="2"/>
      <c r="AC1081" s="3"/>
      <c r="AD1081" s="2"/>
      <c r="AE1081" s="2"/>
      <c r="AF1081" s="2"/>
      <c r="AG1081" s="2"/>
      <c r="AH1081" s="2" t="s">
        <v>1900</v>
      </c>
      <c r="AI1081" s="2" t="s">
        <v>1899</v>
      </c>
      <c r="AJ1081" s="2"/>
      <c r="AK1081" s="2"/>
      <c r="AL1081" s="2"/>
      <c r="AM1081" s="2"/>
      <c r="AN1081" s="2"/>
      <c r="AO1081" s="10" t="s">
        <v>1898</v>
      </c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</row>
    <row r="1082" spans="2:58">
      <c r="C1082" s="1">
        <v>43914</v>
      </c>
      <c r="E1082" s="2" t="s">
        <v>393</v>
      </c>
      <c r="F1082" s="2"/>
      <c r="G1082" s="2" t="s">
        <v>1894</v>
      </c>
      <c r="H1082" s="2" t="s">
        <v>1895</v>
      </c>
      <c r="I1082" s="2"/>
      <c r="J1082" s="2">
        <v>1</v>
      </c>
      <c r="K1082" s="2"/>
      <c r="L1082" s="3">
        <v>51.36</v>
      </c>
      <c r="M1082" s="3">
        <v>5.13</v>
      </c>
      <c r="N1082" s="3">
        <v>2.74</v>
      </c>
      <c r="O1082" s="3"/>
      <c r="P1082" s="3"/>
      <c r="Q1082" s="6">
        <f t="shared" si="2165"/>
        <v>43.489999999999995</v>
      </c>
      <c r="R1082" s="3"/>
      <c r="S1082" s="3">
        <v>33.99</v>
      </c>
      <c r="T1082" s="3">
        <v>2.72</v>
      </c>
      <c r="U1082" s="3"/>
      <c r="V1082" s="3"/>
      <c r="W1082" s="3"/>
      <c r="X1082" s="2">
        <f t="shared" ref="X1082" si="2332">+S1082+T1082++U1082+V1082-W1082</f>
        <v>36.71</v>
      </c>
      <c r="Y1082" s="6">
        <f t="shared" ref="Y1082" si="2333">+Q1082-X1082</f>
        <v>6.779999999999994</v>
      </c>
      <c r="Z1082" s="2"/>
      <c r="AA1082" s="2"/>
      <c r="AB1082" s="2"/>
      <c r="AC1082" s="3"/>
      <c r="AD1082" s="2"/>
      <c r="AE1082" s="2"/>
      <c r="AF1082" s="2"/>
      <c r="AG1082" s="2"/>
      <c r="AH1082" s="2" t="s">
        <v>1971</v>
      </c>
      <c r="AI1082" s="2" t="s">
        <v>1970</v>
      </c>
      <c r="AJ1082" s="2"/>
      <c r="AK1082" s="2"/>
      <c r="AL1082" s="2"/>
      <c r="AM1082" s="2"/>
      <c r="AN1082" s="2"/>
      <c r="AO1082" s="16" t="s">
        <v>1969</v>
      </c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</row>
    <row r="1083" spans="2:58">
      <c r="C1083" s="1">
        <v>43914</v>
      </c>
      <c r="E1083" s="2" t="s">
        <v>1885</v>
      </c>
      <c r="F1083" s="2"/>
      <c r="G1083" s="2" t="s">
        <v>1887</v>
      </c>
      <c r="H1083" s="2" t="s">
        <v>1888</v>
      </c>
      <c r="I1083" s="2"/>
      <c r="J1083" s="2">
        <v>1</v>
      </c>
      <c r="K1083" s="2"/>
      <c r="L1083" s="3">
        <v>83.5</v>
      </c>
      <c r="M1083" s="3">
        <v>8.35</v>
      </c>
      <c r="N1083" s="3">
        <v>4.2300000000000004</v>
      </c>
      <c r="O1083" s="3"/>
      <c r="P1083" s="3">
        <f>5.85-5.85</f>
        <v>0</v>
      </c>
      <c r="Q1083" s="6">
        <f t="shared" si="2165"/>
        <v>70.92</v>
      </c>
      <c r="R1083" s="3"/>
      <c r="S1083" s="3">
        <v>65.19</v>
      </c>
      <c r="T1083" s="3"/>
      <c r="U1083" s="3"/>
      <c r="V1083" s="3"/>
      <c r="W1083" s="3">
        <f>6.52+0.44</f>
        <v>6.96</v>
      </c>
      <c r="X1083" s="2">
        <f t="shared" ref="X1083" si="2334">+S1083+T1083++U1083+V1083-W1083</f>
        <v>58.23</v>
      </c>
      <c r="Y1083" s="6">
        <f t="shared" ref="Y1083" si="2335">+Q1083-X1083</f>
        <v>12.690000000000005</v>
      </c>
      <c r="Z1083" s="2"/>
      <c r="AA1083" s="2"/>
      <c r="AB1083" s="2"/>
      <c r="AC1083" s="3"/>
      <c r="AD1083" s="2"/>
      <c r="AE1083" s="2"/>
      <c r="AF1083" s="2"/>
      <c r="AG1083" s="2"/>
      <c r="AH1083" s="2" t="s">
        <v>1963</v>
      </c>
      <c r="AI1083" s="2" t="s">
        <v>1962</v>
      </c>
      <c r="AJ1083" s="2"/>
      <c r="AK1083" s="2"/>
      <c r="AL1083" s="2"/>
      <c r="AM1083" s="2"/>
      <c r="AN1083" s="2"/>
      <c r="AO1083" s="16" t="s">
        <v>1961</v>
      </c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</row>
    <row r="1084" spans="2:58">
      <c r="C1084" s="1">
        <v>43912</v>
      </c>
      <c r="E1084" s="2" t="s">
        <v>1881</v>
      </c>
      <c r="F1084" s="2"/>
      <c r="G1084" s="2" t="s">
        <v>1879</v>
      </c>
      <c r="H1084" s="2" t="s">
        <v>1880</v>
      </c>
      <c r="I1084" s="2"/>
      <c r="J1084" s="2">
        <v>1</v>
      </c>
      <c r="K1084" s="2"/>
      <c r="L1084" s="3">
        <v>34.950000000000003</v>
      </c>
      <c r="M1084" s="3">
        <v>3.49</v>
      </c>
      <c r="N1084" s="3">
        <v>1.93</v>
      </c>
      <c r="O1084" s="3"/>
      <c r="P1084" s="3">
        <f>2.1-2.1</f>
        <v>0</v>
      </c>
      <c r="Q1084" s="6">
        <f t="shared" si="2165"/>
        <v>29.53</v>
      </c>
      <c r="R1084" s="3"/>
      <c r="S1084" s="3">
        <v>24.99</v>
      </c>
      <c r="T1084" s="3">
        <v>1.5</v>
      </c>
      <c r="U1084" s="3"/>
      <c r="V1084" s="3"/>
      <c r="W1084" s="3"/>
      <c r="X1084" s="2">
        <f t="shared" ref="X1084" si="2336">+S1084+T1084++U1084+V1084-W1084</f>
        <v>26.49</v>
      </c>
      <c r="Y1084" s="6">
        <f t="shared" ref="Y1084" si="2337">+Q1084-X1084</f>
        <v>3.0400000000000027</v>
      </c>
      <c r="Z1084" s="2"/>
      <c r="AA1084" s="2"/>
      <c r="AB1084" s="2"/>
      <c r="AC1084" s="3"/>
      <c r="AD1084" s="2"/>
      <c r="AE1084" s="2"/>
      <c r="AF1084" s="2"/>
      <c r="AG1084" s="2"/>
      <c r="AH1084" s="16" t="s">
        <v>1883</v>
      </c>
      <c r="AI1084" s="2" t="s">
        <v>1882</v>
      </c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</row>
    <row r="1085" spans="2:58">
      <c r="C1085" s="1">
        <v>43911</v>
      </c>
      <c r="E1085" s="2" t="s">
        <v>1881</v>
      </c>
      <c r="F1085" s="2"/>
      <c r="G1085" s="2" t="s">
        <v>1874</v>
      </c>
      <c r="H1085" s="2" t="s">
        <v>1875</v>
      </c>
      <c r="I1085" s="2"/>
      <c r="J1085" s="2">
        <v>1</v>
      </c>
      <c r="K1085" s="2"/>
      <c r="L1085" s="3">
        <v>34.950000000000003</v>
      </c>
      <c r="M1085" s="3">
        <v>3.49</v>
      </c>
      <c r="N1085" s="3">
        <v>1.94</v>
      </c>
      <c r="O1085" s="3"/>
      <c r="P1085" s="3">
        <f>2.22-2.22</f>
        <v>0</v>
      </c>
      <c r="Q1085" s="6">
        <f t="shared" si="2165"/>
        <v>29.52</v>
      </c>
      <c r="R1085" s="3"/>
      <c r="S1085" s="3">
        <v>24.99</v>
      </c>
      <c r="T1085" s="3">
        <v>1.59</v>
      </c>
      <c r="U1085" s="3"/>
      <c r="V1085" s="3"/>
      <c r="W1085" s="3"/>
      <c r="X1085" s="2">
        <f t="shared" ref="X1085" si="2338">+S1085+T1085++U1085+V1085-W1085</f>
        <v>26.58</v>
      </c>
      <c r="Y1085" s="6">
        <f t="shared" ref="Y1085" si="2339">+Q1085-X1085</f>
        <v>2.9400000000000013</v>
      </c>
      <c r="Z1085" s="2"/>
      <c r="AA1085" s="2"/>
      <c r="AB1085" s="2"/>
      <c r="AC1085" s="3"/>
      <c r="AD1085" s="2"/>
      <c r="AE1085" s="2"/>
      <c r="AF1085" s="2"/>
      <c r="AG1085" s="2"/>
      <c r="AH1085" s="2" t="s">
        <v>1878</v>
      </c>
      <c r="AI1085" s="2" t="s">
        <v>1877</v>
      </c>
      <c r="AJ1085" s="2"/>
      <c r="AK1085" s="2"/>
      <c r="AL1085" s="2"/>
      <c r="AM1085" s="2"/>
      <c r="AN1085" s="2"/>
      <c r="AO1085" s="16" t="s">
        <v>1876</v>
      </c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</row>
    <row r="1086" spans="2:58">
      <c r="C1086" s="1">
        <v>43911</v>
      </c>
      <c r="E1086" s="2" t="s">
        <v>1884</v>
      </c>
      <c r="F1086" s="2"/>
      <c r="G1086" s="2" t="s">
        <v>16</v>
      </c>
      <c r="H1086" s="5" t="s">
        <v>1827</v>
      </c>
      <c r="I1086" s="2"/>
      <c r="J1086" s="2"/>
      <c r="K1086" s="2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 t="s">
        <v>1738</v>
      </c>
      <c r="Y1086" s="3"/>
      <c r="Z1086" s="2"/>
      <c r="AA1086" s="2"/>
      <c r="AB1086" s="2"/>
      <c r="AC1086" s="3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</row>
    <row r="1087" spans="2:58">
      <c r="C1087" s="1">
        <v>43907</v>
      </c>
      <c r="E1087" s="2" t="s">
        <v>62</v>
      </c>
      <c r="F1087" s="2"/>
      <c r="G1087" s="2" t="s">
        <v>1869</v>
      </c>
      <c r="H1087" s="2" t="s">
        <v>1870</v>
      </c>
      <c r="I1087" s="2"/>
      <c r="J1087" s="2">
        <v>1</v>
      </c>
      <c r="K1087" s="2"/>
      <c r="L1087" s="3">
        <v>53.7</v>
      </c>
      <c r="M1087" s="3">
        <v>5.37</v>
      </c>
      <c r="N1087" s="3">
        <v>2.8</v>
      </c>
      <c r="O1087" s="3"/>
      <c r="P1087" s="3">
        <f>3.22-3.22</f>
        <v>0</v>
      </c>
      <c r="Q1087" s="6">
        <f t="shared" ref="Q1087:Q1093" si="2340">+L1087-M1087-N1087+P1087</f>
        <v>45.530000000000008</v>
      </c>
      <c r="R1087" s="3"/>
      <c r="S1087" s="3">
        <v>39.99</v>
      </c>
      <c r="T1087" s="3">
        <v>2.4</v>
      </c>
      <c r="U1087" s="3"/>
      <c r="V1087" s="3"/>
      <c r="W1087" s="3"/>
      <c r="X1087" s="2">
        <f t="shared" ref="X1087" si="2341">+S1087+T1087++U1087+V1087-W1087</f>
        <v>42.39</v>
      </c>
      <c r="Y1087" s="6">
        <f t="shared" ref="Y1087" si="2342">+Q1087-X1087</f>
        <v>3.1400000000000077</v>
      </c>
      <c r="Z1087" s="2"/>
      <c r="AA1087" s="2"/>
      <c r="AB1087" s="2"/>
      <c r="AC1087" s="3"/>
      <c r="AD1087" s="2"/>
      <c r="AE1087" s="2"/>
      <c r="AF1087" s="2"/>
      <c r="AG1087" s="2"/>
      <c r="AH1087" s="2" t="s">
        <v>1873</v>
      </c>
      <c r="AI1087" s="2" t="s">
        <v>1872</v>
      </c>
      <c r="AJ1087" s="2"/>
      <c r="AK1087" s="2"/>
      <c r="AL1087" s="2"/>
      <c r="AM1087" s="2"/>
      <c r="AN1087" s="2"/>
      <c r="AO1087" s="16" t="s">
        <v>1871</v>
      </c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</row>
    <row r="1088" spans="2:58">
      <c r="C1088" s="1">
        <v>43907</v>
      </c>
      <c r="E1088" s="2" t="s">
        <v>1861</v>
      </c>
      <c r="F1088" s="2"/>
      <c r="G1088" s="2" t="s">
        <v>1862</v>
      </c>
      <c r="H1088" s="2" t="s">
        <v>1863</v>
      </c>
      <c r="I1088" s="2"/>
      <c r="J1088" s="2">
        <v>1</v>
      </c>
      <c r="K1088" s="2"/>
      <c r="L1088" s="3">
        <v>83.5</v>
      </c>
      <c r="M1088" s="3">
        <v>8.35</v>
      </c>
      <c r="N1088" s="3">
        <v>4.1900000000000004</v>
      </c>
      <c r="O1088" s="3"/>
      <c r="P1088" s="3">
        <f>5.01-5.01</f>
        <v>0</v>
      </c>
      <c r="Q1088" s="6">
        <f t="shared" si="2340"/>
        <v>70.960000000000008</v>
      </c>
      <c r="R1088" s="3"/>
      <c r="S1088" s="3">
        <v>65.19</v>
      </c>
      <c r="T1088" s="3">
        <v>3.91</v>
      </c>
      <c r="U1088" s="3"/>
      <c r="V1088" s="3"/>
      <c r="W1088" s="3">
        <v>6.52</v>
      </c>
      <c r="X1088" s="2">
        <f t="shared" ref="X1088" si="2343">+S1088+T1088++U1088+V1088-W1088</f>
        <v>62.58</v>
      </c>
      <c r="Y1088" s="6">
        <f t="shared" ref="Y1088" si="2344">+Q1088-X1088</f>
        <v>8.3800000000000097</v>
      </c>
      <c r="Z1088" s="2"/>
      <c r="AA1088" s="2"/>
      <c r="AB1088" s="2"/>
      <c r="AC1088" s="3"/>
      <c r="AD1088" s="2"/>
      <c r="AE1088" s="2"/>
      <c r="AF1088" s="2"/>
      <c r="AG1088" s="2"/>
      <c r="AH1088" s="2" t="s">
        <v>1866</v>
      </c>
      <c r="AI1088" s="2" t="s">
        <v>1865</v>
      </c>
      <c r="AJ1088" s="2"/>
      <c r="AK1088" s="2"/>
      <c r="AL1088" s="2"/>
      <c r="AM1088" s="2"/>
      <c r="AN1088" s="2"/>
      <c r="AO1088" s="16" t="s">
        <v>1864</v>
      </c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</row>
    <row r="1089" spans="3:58">
      <c r="C1089" s="1">
        <v>43904</v>
      </c>
      <c r="E1089" s="2" t="s">
        <v>1789</v>
      </c>
      <c r="F1089" s="2"/>
      <c r="G1089" s="2" t="s">
        <v>1855</v>
      </c>
      <c r="H1089" s="2" t="s">
        <v>1856</v>
      </c>
      <c r="I1089" s="2"/>
      <c r="J1089" s="2">
        <v>1</v>
      </c>
      <c r="K1089" s="2"/>
      <c r="L1089" s="3">
        <v>29.5</v>
      </c>
      <c r="M1089" s="3">
        <v>2.95</v>
      </c>
      <c r="N1089" s="3">
        <v>1.69</v>
      </c>
      <c r="O1089" s="3"/>
      <c r="P1089" s="3">
        <f>2.14-2.14</f>
        <v>0</v>
      </c>
      <c r="Q1089" s="6">
        <f t="shared" si="2340"/>
        <v>24.86</v>
      </c>
      <c r="R1089" s="3"/>
      <c r="S1089" s="3">
        <v>14.98</v>
      </c>
      <c r="T1089" s="3">
        <v>1.0900000000000001</v>
      </c>
      <c r="U1089" s="3"/>
      <c r="V1089" s="3"/>
      <c r="W1089" s="3"/>
      <c r="X1089" s="2">
        <f t="shared" ref="X1089" si="2345">+S1089+T1089++U1089+V1089-W1089</f>
        <v>16.07</v>
      </c>
      <c r="Y1089" s="6">
        <f t="shared" ref="Y1089" si="2346">+Q1089-X1089</f>
        <v>8.7899999999999991</v>
      </c>
      <c r="Z1089" s="2"/>
      <c r="AA1089" s="2"/>
      <c r="AB1089" s="2"/>
      <c r="AC1089" s="3"/>
      <c r="AD1089" s="2"/>
      <c r="AE1089" s="2"/>
      <c r="AF1089" s="2"/>
      <c r="AG1089" s="2"/>
      <c r="AH1089" s="2" t="s">
        <v>1859</v>
      </c>
      <c r="AI1089" s="2" t="s">
        <v>1858</v>
      </c>
      <c r="AJ1089" s="2"/>
      <c r="AK1089" s="2"/>
      <c r="AL1089" s="2"/>
      <c r="AM1089" s="2"/>
      <c r="AN1089" s="2"/>
      <c r="AO1089" s="2" t="s">
        <v>1857</v>
      </c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</row>
    <row r="1090" spans="3:58">
      <c r="C1090" s="1">
        <v>43902</v>
      </c>
      <c r="E1090" s="2" t="s">
        <v>1789</v>
      </c>
      <c r="F1090" s="2"/>
      <c r="G1090" s="2" t="s">
        <v>1850</v>
      </c>
      <c r="H1090" s="2" t="s">
        <v>1851</v>
      </c>
      <c r="I1090" s="2"/>
      <c r="J1090" s="2">
        <v>1</v>
      </c>
      <c r="K1090" s="2"/>
      <c r="L1090" s="3">
        <v>29.5</v>
      </c>
      <c r="M1090" s="3">
        <v>2.95</v>
      </c>
      <c r="N1090" s="3">
        <v>1.67</v>
      </c>
      <c r="O1090" s="3"/>
      <c r="P1090" s="3">
        <f>1.62-1.62</f>
        <v>0</v>
      </c>
      <c r="Q1090" s="6">
        <f t="shared" si="2340"/>
        <v>24.880000000000003</v>
      </c>
      <c r="R1090" s="3"/>
      <c r="S1090" s="3">
        <v>14.98</v>
      </c>
      <c r="T1090" s="3">
        <v>0.82</v>
      </c>
      <c r="U1090" s="3"/>
      <c r="V1090" s="3"/>
      <c r="W1090" s="3"/>
      <c r="X1090" s="2">
        <f t="shared" ref="X1090" si="2347">+S1090+T1090++U1090+V1090-W1090</f>
        <v>15.8</v>
      </c>
      <c r="Y1090" s="6">
        <f t="shared" ref="Y1090" si="2348">+Q1090-X1090</f>
        <v>9.0800000000000018</v>
      </c>
      <c r="Z1090" s="2"/>
      <c r="AA1090" s="2"/>
      <c r="AB1090" s="2"/>
      <c r="AC1090" s="3"/>
      <c r="AD1090" s="2"/>
      <c r="AE1090" s="2"/>
      <c r="AF1090" s="2"/>
      <c r="AG1090" s="2"/>
      <c r="AH1090" s="2" t="s">
        <v>1853</v>
      </c>
      <c r="AI1090" s="2" t="s">
        <v>1852</v>
      </c>
      <c r="AJ1090" s="2"/>
      <c r="AK1090" s="2"/>
      <c r="AL1090" s="2"/>
      <c r="AM1090" s="2"/>
      <c r="AN1090" s="2"/>
      <c r="AO1090" s="16" t="s">
        <v>1854</v>
      </c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</row>
    <row r="1091" spans="3:58">
      <c r="C1091" s="1">
        <v>43900</v>
      </c>
      <c r="E1091" s="2" t="s">
        <v>1843</v>
      </c>
      <c r="F1091" s="2"/>
      <c r="G1091" s="2" t="s">
        <v>1844</v>
      </c>
      <c r="H1091" s="2" t="s">
        <v>1845</v>
      </c>
      <c r="I1091" s="2"/>
      <c r="J1091" s="2">
        <v>1</v>
      </c>
      <c r="K1091" s="2"/>
      <c r="L1091" s="3">
        <v>29</v>
      </c>
      <c r="M1091" s="3">
        <v>2.9</v>
      </c>
      <c r="N1091" s="3">
        <v>1.71</v>
      </c>
      <c r="O1091" s="3"/>
      <c r="P1091" s="3">
        <f>2.97-2.97</f>
        <v>0</v>
      </c>
      <c r="Q1091" s="6">
        <f t="shared" si="2340"/>
        <v>24.39</v>
      </c>
      <c r="R1091" s="3"/>
      <c r="S1091" s="3">
        <v>24.99</v>
      </c>
      <c r="T1091" s="3">
        <v>2.37</v>
      </c>
      <c r="U1091" s="3"/>
      <c r="V1091" s="3"/>
      <c r="W1091" s="3"/>
      <c r="X1091" s="2">
        <f t="shared" ref="X1091" si="2349">+S1091+T1091++U1091+V1091-W1091</f>
        <v>27.36</v>
      </c>
      <c r="Y1091" s="6">
        <f t="shared" ref="Y1091" si="2350">+Q1091-X1091</f>
        <v>-2.9699999999999989</v>
      </c>
      <c r="Z1091" s="2"/>
      <c r="AA1091" s="2"/>
      <c r="AB1091" s="2"/>
      <c r="AC1091" s="3"/>
      <c r="AD1091" s="2"/>
      <c r="AE1091" s="2"/>
      <c r="AF1091" s="2"/>
      <c r="AG1091" s="2"/>
      <c r="AH1091" s="2" t="s">
        <v>1847</v>
      </c>
      <c r="AI1091" s="2" t="s">
        <v>1846</v>
      </c>
      <c r="AJ1091" s="2"/>
      <c r="AK1091" s="2"/>
      <c r="AL1091" s="2"/>
      <c r="AM1091" s="2"/>
      <c r="AN1091" s="2"/>
      <c r="AO1091" s="16" t="s">
        <v>1848</v>
      </c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</row>
    <row r="1092" spans="3:58">
      <c r="C1092" s="1">
        <v>43900</v>
      </c>
      <c r="E1092" s="2" t="s">
        <v>1837</v>
      </c>
      <c r="F1092" s="2"/>
      <c r="G1092" s="2" t="s">
        <v>1838</v>
      </c>
      <c r="H1092" s="2" t="s">
        <v>1839</v>
      </c>
      <c r="I1092" s="2"/>
      <c r="J1092" s="2">
        <v>1</v>
      </c>
      <c r="K1092" s="2"/>
      <c r="L1092" s="3">
        <v>21.5</v>
      </c>
      <c r="M1092" s="3">
        <v>2.15</v>
      </c>
      <c r="N1092" s="3">
        <v>1.32</v>
      </c>
      <c r="O1092" s="3"/>
      <c r="P1092" s="3">
        <f>1.67-1.67</f>
        <v>0</v>
      </c>
      <c r="Q1092" s="6">
        <f t="shared" si="2340"/>
        <v>18.03</v>
      </c>
      <c r="R1092" s="3"/>
      <c r="S1092" s="3">
        <v>14.49</v>
      </c>
      <c r="T1092" s="3">
        <v>1.1200000000000001</v>
      </c>
      <c r="U1092" s="3"/>
      <c r="V1092" s="3"/>
      <c r="W1092" s="3"/>
      <c r="X1092" s="2">
        <f t="shared" ref="X1092" si="2351">+S1092+T1092++U1092+V1092-W1092</f>
        <v>15.61</v>
      </c>
      <c r="Y1092" s="6">
        <f t="shared" ref="Y1092" si="2352">+Q1092-X1092</f>
        <v>2.4200000000000017</v>
      </c>
      <c r="Z1092" s="2"/>
      <c r="AA1092" s="2"/>
      <c r="AB1092" s="2"/>
      <c r="AC1092" s="3"/>
      <c r="AD1092" s="2"/>
      <c r="AE1092" s="2"/>
      <c r="AF1092" s="2"/>
      <c r="AG1092" s="2"/>
      <c r="AH1092" s="2" t="s">
        <v>1841</v>
      </c>
      <c r="AI1092" s="2" t="s">
        <v>1840</v>
      </c>
      <c r="AJ1092" s="2"/>
      <c r="AK1092" s="2"/>
      <c r="AL1092" s="2"/>
      <c r="AM1092" s="2"/>
      <c r="AN1092" s="2"/>
      <c r="AO1092" s="2" t="s">
        <v>1842</v>
      </c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</row>
    <row r="1093" spans="3:58">
      <c r="C1093" s="1">
        <v>43900</v>
      </c>
      <c r="E1093" s="2" t="s">
        <v>393</v>
      </c>
      <c r="F1093" s="2"/>
      <c r="G1093" s="2" t="s">
        <v>1833</v>
      </c>
      <c r="H1093" s="2" t="s">
        <v>1834</v>
      </c>
      <c r="I1093" s="2"/>
      <c r="J1093" s="2">
        <v>1</v>
      </c>
      <c r="K1093" s="2"/>
      <c r="L1093" s="3">
        <v>52.36</v>
      </c>
      <c r="M1093" s="3">
        <v>5.23</v>
      </c>
      <c r="N1093" s="3">
        <v>2.82</v>
      </c>
      <c r="O1093" s="3"/>
      <c r="P1093" s="3">
        <f>4.88-4.88</f>
        <v>0</v>
      </c>
      <c r="Q1093" s="6">
        <f t="shared" si="2340"/>
        <v>44.309999999999995</v>
      </c>
      <c r="R1093" s="3"/>
      <c r="S1093" s="3">
        <v>33.99</v>
      </c>
      <c r="T1093" s="3">
        <v>3.17</v>
      </c>
      <c r="U1093" s="3"/>
      <c r="V1093" s="3"/>
      <c r="W1093" s="3">
        <v>0</v>
      </c>
      <c r="X1093" s="2">
        <f t="shared" ref="X1093" si="2353">+S1093+T1093++U1093+V1093-W1093</f>
        <v>37.160000000000004</v>
      </c>
      <c r="Y1093" s="6">
        <f t="shared" ref="Y1093" si="2354">+Q1093-X1093</f>
        <v>7.1499999999999915</v>
      </c>
      <c r="Z1093" s="2"/>
      <c r="AA1093" s="2"/>
      <c r="AB1093" s="2"/>
      <c r="AC1093" s="3"/>
      <c r="AD1093" s="2"/>
      <c r="AE1093" s="2"/>
      <c r="AF1093" s="2"/>
      <c r="AG1093" s="2"/>
      <c r="AH1093" s="2" t="s">
        <v>1836</v>
      </c>
      <c r="AI1093" s="2" t="s">
        <v>1835</v>
      </c>
      <c r="AJ1093" s="2"/>
      <c r="AK1093" s="2"/>
      <c r="AL1093" s="2"/>
      <c r="AM1093" s="2"/>
      <c r="AN1093" s="2"/>
      <c r="AO1093" s="2" t="s">
        <v>1832</v>
      </c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</row>
    <row r="1094" spans="3:58">
      <c r="C1094" s="1">
        <v>43899</v>
      </c>
      <c r="E1094" s="2" t="s">
        <v>1646</v>
      </c>
      <c r="F1094" s="2"/>
      <c r="G1094" s="2" t="s">
        <v>1828</v>
      </c>
      <c r="H1094" s="2" t="s">
        <v>1829</v>
      </c>
      <c r="I1094" s="2"/>
      <c r="J1094" s="2">
        <v>1</v>
      </c>
      <c r="K1094" s="2"/>
      <c r="L1094" s="3">
        <v>26</v>
      </c>
      <c r="M1094" s="3">
        <v>2.6</v>
      </c>
      <c r="N1094" s="3">
        <v>1.52</v>
      </c>
      <c r="O1094" s="3"/>
      <c r="P1094" s="3">
        <v>1.82</v>
      </c>
      <c r="Q1094" s="6">
        <f t="shared" ref="Q1094:Q1096" si="2355">+L1094-M1094-N1094+P1094</f>
        <v>23.7</v>
      </c>
      <c r="R1094" s="3"/>
      <c r="S1094" s="3">
        <v>17.989999999999998</v>
      </c>
      <c r="T1094" s="3"/>
      <c r="U1094" s="3"/>
      <c r="V1094" s="3"/>
      <c r="W1094" s="3"/>
      <c r="X1094" s="2">
        <f t="shared" ref="X1094" si="2356">+S1094+T1094++U1094+V1094-W1094</f>
        <v>17.989999999999998</v>
      </c>
      <c r="Y1094" s="6">
        <f t="shared" ref="Y1094" si="2357">+Q1094-X1094</f>
        <v>5.7100000000000009</v>
      </c>
      <c r="Z1094" s="2"/>
      <c r="AA1094" s="2"/>
      <c r="AB1094" s="2"/>
      <c r="AC1094" s="3"/>
      <c r="AD1094" s="2"/>
      <c r="AE1094" s="2"/>
      <c r="AF1094" s="2"/>
      <c r="AG1094" s="2"/>
      <c r="AH1094" s="2" t="s">
        <v>1831</v>
      </c>
      <c r="AI1094" s="16" t="s">
        <v>1830</v>
      </c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</row>
    <row r="1095" spans="3:58">
      <c r="C1095" s="1">
        <v>43899</v>
      </c>
      <c r="E1095" s="2" t="s">
        <v>1800</v>
      </c>
      <c r="F1095" s="2"/>
      <c r="G1095" s="2" t="s">
        <v>1801</v>
      </c>
      <c r="H1095" s="2" t="s">
        <v>1802</v>
      </c>
      <c r="I1095" s="2"/>
      <c r="J1095" s="2">
        <v>1</v>
      </c>
      <c r="K1095" s="2"/>
      <c r="L1095" s="3">
        <v>81.5</v>
      </c>
      <c r="M1095" s="3">
        <v>8.15</v>
      </c>
      <c r="N1095" s="3">
        <v>4.21</v>
      </c>
      <c r="O1095" s="3"/>
      <c r="P1095" s="3">
        <v>7.34</v>
      </c>
      <c r="Q1095" s="6">
        <f t="shared" si="2355"/>
        <v>76.48</v>
      </c>
      <c r="R1095" s="3"/>
      <c r="S1095" s="3">
        <v>65.19</v>
      </c>
      <c r="T1095" s="3"/>
      <c r="U1095" s="3"/>
      <c r="V1095" s="3"/>
      <c r="W1095" s="3">
        <v>6.52</v>
      </c>
      <c r="X1095" s="2">
        <f t="shared" ref="X1095" si="2358">+S1095+T1095++U1095+V1095-W1095</f>
        <v>58.67</v>
      </c>
      <c r="Y1095" s="6">
        <f t="shared" ref="Y1095" si="2359">+Q1095-X1095</f>
        <v>17.810000000000002</v>
      </c>
      <c r="Z1095" s="2"/>
      <c r="AA1095" s="2"/>
      <c r="AB1095" s="2"/>
      <c r="AC1095" s="3"/>
      <c r="AD1095" s="2"/>
      <c r="AE1095" s="2"/>
      <c r="AF1095" s="2"/>
      <c r="AG1095" s="2"/>
      <c r="AH1095" s="2" t="s">
        <v>1805</v>
      </c>
      <c r="AI1095" s="2" t="s">
        <v>1804</v>
      </c>
      <c r="AJ1095" s="2"/>
      <c r="AK1095" s="2"/>
      <c r="AL1095" s="2"/>
      <c r="AM1095" s="2"/>
      <c r="AN1095" s="2"/>
      <c r="AO1095" s="16" t="s">
        <v>1803</v>
      </c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</row>
    <row r="1096" spans="3:58">
      <c r="C1096" s="1">
        <v>43898</v>
      </c>
      <c r="E1096" s="2" t="s">
        <v>1714</v>
      </c>
      <c r="F1096" s="2"/>
      <c r="G1096" s="2" t="s">
        <v>1821</v>
      </c>
      <c r="H1096" s="2" t="s">
        <v>1822</v>
      </c>
      <c r="I1096" s="2"/>
      <c r="J1096" s="2">
        <v>1</v>
      </c>
      <c r="K1096" s="2"/>
      <c r="L1096" s="3">
        <v>83.5</v>
      </c>
      <c r="M1096" s="3">
        <v>8.35</v>
      </c>
      <c r="N1096" s="3">
        <v>4.2300000000000004</v>
      </c>
      <c r="O1096" s="3"/>
      <c r="P1096" s="3">
        <v>5.85</v>
      </c>
      <c r="Q1096" s="6">
        <f t="shared" si="2355"/>
        <v>76.77</v>
      </c>
      <c r="R1096" s="3"/>
      <c r="S1096" s="3">
        <v>65.19</v>
      </c>
      <c r="T1096" s="3"/>
      <c r="U1096" s="3"/>
      <c r="V1096" s="3"/>
      <c r="W1096" s="3">
        <v>6.52</v>
      </c>
      <c r="X1096" s="2">
        <f t="shared" ref="X1096" si="2360">+S1096+T1096++U1096+V1096-W1096</f>
        <v>58.67</v>
      </c>
      <c r="Y1096" s="6">
        <f t="shared" ref="Y1096" si="2361">+Q1096-X1096</f>
        <v>18.099999999999994</v>
      </c>
      <c r="Z1096" s="2"/>
      <c r="AA1096" s="2"/>
      <c r="AB1096" s="2"/>
      <c r="AC1096" s="3"/>
      <c r="AD1096" s="2"/>
      <c r="AE1096" s="2"/>
      <c r="AF1096" s="2"/>
      <c r="AG1096" s="2"/>
      <c r="AH1096" s="2" t="s">
        <v>1825</v>
      </c>
      <c r="AI1096" s="2" t="s">
        <v>1824</v>
      </c>
      <c r="AJ1096" s="2"/>
      <c r="AK1096" s="2"/>
      <c r="AL1096" s="2"/>
      <c r="AM1096" s="2"/>
      <c r="AN1096" s="2"/>
      <c r="AO1096" s="16" t="s">
        <v>1823</v>
      </c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</row>
    <row r="1097" spans="3:58">
      <c r="C1097" s="1">
        <v>43898</v>
      </c>
      <c r="E1097" s="2" t="s">
        <v>1849</v>
      </c>
      <c r="F1097" s="2"/>
      <c r="G1097" s="2" t="s">
        <v>1826</v>
      </c>
      <c r="H1097" s="5" t="s">
        <v>1827</v>
      </c>
      <c r="I1097" s="2"/>
      <c r="J1097" s="2">
        <v>2</v>
      </c>
      <c r="K1097" s="2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2"/>
      <c r="AA1097" s="2"/>
      <c r="AB1097" s="2"/>
      <c r="AC1097" s="3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</row>
    <row r="1098" spans="3:58">
      <c r="C1098" s="1">
        <v>43898</v>
      </c>
      <c r="E1098" s="2" t="s">
        <v>1849</v>
      </c>
      <c r="F1098" s="2"/>
      <c r="G1098" s="2"/>
      <c r="H1098" s="2"/>
      <c r="I1098" s="2"/>
      <c r="J1098" s="2"/>
      <c r="K1098" s="2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2"/>
      <c r="AA1098" s="2"/>
      <c r="AB1098" s="2"/>
      <c r="AC1098" s="3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</row>
    <row r="1099" spans="3:58">
      <c r="C1099" s="1">
        <v>43898</v>
      </c>
      <c r="E1099" s="2" t="s">
        <v>1619</v>
      </c>
      <c r="F1099" s="2"/>
      <c r="G1099" s="2" t="s">
        <v>1810</v>
      </c>
      <c r="H1099" s="2" t="s">
        <v>1811</v>
      </c>
      <c r="I1099" s="2"/>
      <c r="J1099" s="2">
        <v>1</v>
      </c>
      <c r="K1099" s="2"/>
      <c r="L1099" s="3">
        <v>83.5</v>
      </c>
      <c r="M1099" s="3">
        <v>8.35</v>
      </c>
      <c r="N1099" s="3">
        <v>4.3</v>
      </c>
      <c r="O1099" s="3"/>
      <c r="P1099" s="3">
        <f>7.41-7.41</f>
        <v>0</v>
      </c>
      <c r="Q1099" s="6">
        <f t="shared" ref="Q1099:Q1102" si="2362">+L1099-M1099-N1099+P1099</f>
        <v>70.850000000000009</v>
      </c>
      <c r="R1099" s="3"/>
      <c r="S1099" s="3">
        <v>65.19</v>
      </c>
      <c r="T1099" s="3"/>
      <c r="U1099" s="3"/>
      <c r="V1099" s="3"/>
      <c r="W1099" s="3">
        <v>6.52</v>
      </c>
      <c r="X1099" s="2">
        <f t="shared" ref="X1099" si="2363">+S1099+T1099++U1099+V1099-W1099</f>
        <v>58.67</v>
      </c>
      <c r="Y1099" s="6">
        <f t="shared" ref="Y1099" si="2364">+Q1099-X1099</f>
        <v>12.180000000000007</v>
      </c>
      <c r="Z1099" s="2"/>
      <c r="AA1099" s="2"/>
      <c r="AB1099" s="2"/>
      <c r="AC1099" s="3"/>
      <c r="AD1099" s="2"/>
      <c r="AE1099" s="2"/>
      <c r="AF1099" s="2"/>
      <c r="AG1099" s="2"/>
      <c r="AH1099" s="2" t="s">
        <v>1813</v>
      </c>
      <c r="AI1099" s="2" t="s">
        <v>1812</v>
      </c>
      <c r="AJ1099" s="2"/>
      <c r="AK1099" s="2"/>
      <c r="AL1099" s="2"/>
      <c r="AM1099" s="2"/>
      <c r="AN1099" s="2"/>
      <c r="AO1099" s="16" t="s">
        <v>1814</v>
      </c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</row>
    <row r="1100" spans="3:58">
      <c r="C1100" s="1">
        <v>43898</v>
      </c>
      <c r="E1100" s="2" t="s">
        <v>1794</v>
      </c>
      <c r="F1100" s="2"/>
      <c r="G1100" s="2" t="s">
        <v>1806</v>
      </c>
      <c r="H1100" s="2" t="s">
        <v>1807</v>
      </c>
      <c r="I1100" s="2"/>
      <c r="J1100" s="2">
        <v>1</v>
      </c>
      <c r="K1100" s="2"/>
      <c r="L1100" s="3">
        <v>81.5</v>
      </c>
      <c r="M1100" s="3">
        <v>8.15</v>
      </c>
      <c r="N1100" s="3">
        <v>3.89</v>
      </c>
      <c r="O1100" s="3"/>
      <c r="P1100" s="3"/>
      <c r="Q1100" s="6">
        <f t="shared" si="2362"/>
        <v>69.459999999999994</v>
      </c>
      <c r="R1100" s="3"/>
      <c r="S1100" s="3">
        <v>65.19</v>
      </c>
      <c r="T1100" s="3"/>
      <c r="U1100" s="3"/>
      <c r="V1100" s="3"/>
      <c r="W1100" s="3">
        <v>6.52</v>
      </c>
      <c r="X1100" s="2">
        <f t="shared" ref="X1100" si="2365">+S1100+T1100++U1100+V1100-W1100</f>
        <v>58.67</v>
      </c>
      <c r="Y1100" s="6">
        <f t="shared" ref="Y1100" si="2366">+Q1100-X1100</f>
        <v>10.789999999999992</v>
      </c>
      <c r="Z1100" s="2"/>
      <c r="AA1100" s="2"/>
      <c r="AB1100" s="2"/>
      <c r="AC1100" s="3"/>
      <c r="AD1100" s="2"/>
      <c r="AE1100" s="2"/>
      <c r="AF1100" s="2"/>
      <c r="AG1100" s="2"/>
      <c r="AH1100" s="2" t="s">
        <v>1809</v>
      </c>
      <c r="AI1100" s="2" t="s">
        <v>1808</v>
      </c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</row>
    <row r="1101" spans="3:58">
      <c r="C1101" s="1">
        <v>43896</v>
      </c>
      <c r="E1101" s="2" t="s">
        <v>178</v>
      </c>
      <c r="F1101" s="2"/>
      <c r="G1101" s="2" t="s">
        <v>1787</v>
      </c>
      <c r="H1101" s="2" t="s">
        <v>1788</v>
      </c>
      <c r="I1101" s="2"/>
      <c r="J1101" s="2">
        <v>2</v>
      </c>
      <c r="K1101" s="2"/>
      <c r="L1101" s="3">
        <v>59</v>
      </c>
      <c r="M1101" s="3">
        <v>5.9</v>
      </c>
      <c r="N1101" s="3">
        <v>3.08</v>
      </c>
      <c r="O1101" s="3"/>
      <c r="P1101" s="3">
        <f>4.13-4.13</f>
        <v>0</v>
      </c>
      <c r="Q1101" s="6">
        <f t="shared" si="2362"/>
        <v>50.02</v>
      </c>
      <c r="R1101" s="3"/>
      <c r="S1101" s="3">
        <v>29.96</v>
      </c>
      <c r="T1101" s="3">
        <v>2.1</v>
      </c>
      <c r="U1101" s="3"/>
      <c r="V1101" s="3"/>
      <c r="W1101" s="3"/>
      <c r="X1101" s="2">
        <f t="shared" ref="X1101" si="2367">+S1101+T1101++U1101+V1101-W1101</f>
        <v>32.06</v>
      </c>
      <c r="Y1101" s="6">
        <f t="shared" ref="Y1101" si="2368">+Q1101-X1101</f>
        <v>17.96</v>
      </c>
      <c r="Z1101" s="2"/>
      <c r="AA1101" s="2"/>
      <c r="AB1101" s="2"/>
      <c r="AC1101" s="3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</row>
    <row r="1102" spans="3:58">
      <c r="C1102" s="1">
        <v>43896</v>
      </c>
      <c r="E1102" s="2" t="s">
        <v>1778</v>
      </c>
      <c r="F1102" s="2"/>
      <c r="G1102" s="2" t="s">
        <v>1795</v>
      </c>
      <c r="H1102" s="2" t="s">
        <v>1796</v>
      </c>
      <c r="I1102" s="2"/>
      <c r="J1102" s="2">
        <v>1</v>
      </c>
      <c r="K1102" s="2"/>
      <c r="L1102" s="3">
        <v>83.5</v>
      </c>
      <c r="M1102" s="3">
        <v>8.35</v>
      </c>
      <c r="N1102" s="3">
        <v>4.2</v>
      </c>
      <c r="O1102" s="3"/>
      <c r="P1102" s="3">
        <f>5.22-5.22</f>
        <v>0</v>
      </c>
      <c r="Q1102" s="6">
        <f t="shared" si="2362"/>
        <v>70.95</v>
      </c>
      <c r="R1102" s="3"/>
      <c r="S1102" s="3">
        <v>65.19</v>
      </c>
      <c r="T1102" s="3">
        <v>0</v>
      </c>
      <c r="U1102" s="3">
        <v>0</v>
      </c>
      <c r="V1102" s="3"/>
      <c r="W1102" s="3">
        <v>6.52</v>
      </c>
      <c r="X1102" s="2">
        <f t="shared" ref="X1102" si="2369">+S1102+T1102++U1102+V1102-W1102</f>
        <v>58.67</v>
      </c>
      <c r="Y1102" s="6">
        <f t="shared" ref="Y1102" si="2370">+Q1102-X1102</f>
        <v>12.280000000000001</v>
      </c>
      <c r="Z1102" s="2"/>
      <c r="AA1102" s="2"/>
      <c r="AB1102" s="2"/>
      <c r="AC1102" s="3"/>
      <c r="AD1102" s="2"/>
      <c r="AE1102" s="2"/>
      <c r="AF1102" s="2"/>
      <c r="AG1102" s="2"/>
      <c r="AH1102" s="2" t="s">
        <v>1798</v>
      </c>
      <c r="AI1102" s="2" t="s">
        <v>1797</v>
      </c>
      <c r="AJ1102" s="2"/>
      <c r="AK1102" s="2"/>
      <c r="AL1102" s="2"/>
      <c r="AM1102" s="2"/>
      <c r="AN1102" s="2"/>
      <c r="AO1102" s="2" t="s">
        <v>1799</v>
      </c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</row>
    <row r="1103" spans="3:58">
      <c r="C1103" s="1">
        <v>43896</v>
      </c>
      <c r="E1103" s="2" t="s">
        <v>1777</v>
      </c>
      <c r="F1103" s="2"/>
      <c r="G1103" s="2" t="s">
        <v>1790</v>
      </c>
      <c r="H1103" s="2" t="s">
        <v>1791</v>
      </c>
      <c r="I1103" s="2"/>
      <c r="J1103" s="2">
        <v>1</v>
      </c>
      <c r="K1103" s="2"/>
      <c r="L1103" s="3">
        <v>81.5</v>
      </c>
      <c r="M1103" s="3">
        <v>8.15</v>
      </c>
      <c r="N1103" s="3">
        <v>3.89</v>
      </c>
      <c r="O1103" s="3"/>
      <c r="P1103" s="3"/>
      <c r="Q1103" s="6">
        <f t="shared" ref="Q1103:Q1105" si="2371">+L1103-M1103-N1103+P1103</f>
        <v>69.459999999999994</v>
      </c>
      <c r="R1103" s="3"/>
      <c r="S1103" s="3">
        <v>65.19</v>
      </c>
      <c r="T1103" s="3"/>
      <c r="U1103" s="3"/>
      <c r="V1103" s="3"/>
      <c r="W1103" s="3">
        <v>6.52</v>
      </c>
      <c r="X1103" s="2">
        <f t="shared" ref="X1103" si="2372">+S1103+T1103++U1103+V1103-W1103</f>
        <v>58.67</v>
      </c>
      <c r="Y1103" s="6">
        <f t="shared" ref="Y1103" si="2373">+Q1103-X1103</f>
        <v>10.789999999999992</v>
      </c>
      <c r="Z1103" s="2"/>
      <c r="AA1103" s="2"/>
      <c r="AB1103" s="2"/>
      <c r="AC1103" s="3"/>
      <c r="AD1103" s="2"/>
      <c r="AE1103" s="2"/>
      <c r="AF1103" s="2"/>
      <c r="AG1103" s="2"/>
      <c r="AH1103" s="2" t="s">
        <v>155</v>
      </c>
      <c r="AI1103" s="2" t="s">
        <v>1792</v>
      </c>
      <c r="AJ1103" s="2"/>
      <c r="AK1103" s="2"/>
      <c r="AL1103" s="2"/>
      <c r="AM1103" s="2"/>
      <c r="AN1103" s="2"/>
      <c r="AO1103" s="2" t="s">
        <v>1793</v>
      </c>
      <c r="AP1103" s="2" t="s">
        <v>1860</v>
      </c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</row>
    <row r="1104" spans="3:58">
      <c r="C1104" s="1">
        <v>43895</v>
      </c>
      <c r="E1104" s="2" t="s">
        <v>1779</v>
      </c>
      <c r="F1104" s="2"/>
      <c r="G1104" s="2" t="s">
        <v>1780</v>
      </c>
      <c r="H1104" s="2" t="s">
        <v>1781</v>
      </c>
      <c r="I1104" s="2"/>
      <c r="J1104" s="2">
        <v>1</v>
      </c>
      <c r="K1104" s="2"/>
      <c r="L1104" s="3">
        <v>17.170000000000002</v>
      </c>
      <c r="M1104" s="3">
        <v>1.71</v>
      </c>
      <c r="N1104" s="3">
        <v>1.1200000000000001</v>
      </c>
      <c r="O1104" s="3"/>
      <c r="P1104" s="3">
        <f>1.42-1.42</f>
        <v>0</v>
      </c>
      <c r="Q1104" s="6">
        <f t="shared" si="2371"/>
        <v>14.34</v>
      </c>
      <c r="R1104" s="3"/>
      <c r="S1104" s="3">
        <v>12.33</v>
      </c>
      <c r="T1104" s="3">
        <v>1.02</v>
      </c>
      <c r="U1104" s="3"/>
      <c r="V1104" s="3"/>
      <c r="W1104" s="3"/>
      <c r="X1104" s="2">
        <f t="shared" ref="X1104" si="2374">+S1104+T1104++U1104+V1104-W1104</f>
        <v>13.35</v>
      </c>
      <c r="Y1104" s="6">
        <f t="shared" ref="Y1104" si="2375">+Q1104-X1104</f>
        <v>0.99000000000000021</v>
      </c>
      <c r="Z1104" s="2"/>
      <c r="AA1104" s="2"/>
      <c r="AB1104" s="2"/>
      <c r="AC1104" s="3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</row>
    <row r="1105" spans="2:58">
      <c r="B1105" s="20" t="s">
        <v>1370</v>
      </c>
      <c r="C1105" s="1">
        <v>43893</v>
      </c>
      <c r="E1105" s="2" t="s">
        <v>1776</v>
      </c>
      <c r="F1105" s="2"/>
      <c r="G1105" s="2" t="s">
        <v>1929</v>
      </c>
      <c r="H1105" s="2" t="s">
        <v>2779</v>
      </c>
      <c r="I1105" s="2"/>
      <c r="J1105" s="2">
        <v>1</v>
      </c>
      <c r="K1105" s="2"/>
      <c r="L1105" s="3">
        <v>19.649999999999999</v>
      </c>
      <c r="M1105" s="3">
        <v>1.96</v>
      </c>
      <c r="N1105" s="3">
        <v>1.1599999999999999</v>
      </c>
      <c r="O1105" s="3"/>
      <c r="P1105" s="3"/>
      <c r="Q1105" s="6">
        <f t="shared" si="2371"/>
        <v>16.529999999999998</v>
      </c>
      <c r="R1105" s="3"/>
      <c r="S1105" s="3">
        <v>11.04</v>
      </c>
      <c r="T1105" s="3"/>
      <c r="U1105" s="3">
        <v>3.25</v>
      </c>
      <c r="V1105" s="3"/>
      <c r="W1105" s="3"/>
      <c r="X1105" s="2">
        <f t="shared" ref="X1105" si="2376">+S1105+T1105++U1105+V1105-W1105</f>
        <v>14.29</v>
      </c>
      <c r="Y1105" s="6">
        <f t="shared" ref="Y1105" si="2377">+Q1105-X1105</f>
        <v>2.2399999999999984</v>
      </c>
      <c r="Z1105" s="2"/>
      <c r="AA1105" s="2"/>
      <c r="AB1105" s="2"/>
      <c r="AC1105" s="3"/>
      <c r="AD1105" s="2"/>
      <c r="AE1105" s="2"/>
      <c r="AF1105" s="2" t="s">
        <v>1932</v>
      </c>
      <c r="AG1105" s="2"/>
      <c r="AH1105" s="2" t="s">
        <v>1934</v>
      </c>
      <c r="AI1105" s="2" t="s">
        <v>1933</v>
      </c>
      <c r="AJ1105" s="2"/>
      <c r="AK1105" s="2"/>
      <c r="AL1105" s="2"/>
      <c r="AM1105" s="2"/>
      <c r="AN1105" s="2"/>
      <c r="AO1105" s="16" t="s">
        <v>1930</v>
      </c>
      <c r="AP1105" s="2"/>
      <c r="AQ1105" s="2"/>
      <c r="AR1105" s="19" t="s">
        <v>1931</v>
      </c>
      <c r="AS1105" s="2">
        <v>15</v>
      </c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</row>
    <row r="1106" spans="2:58">
      <c r="C1106" s="1">
        <v>43893</v>
      </c>
      <c r="E1106" s="2" t="s">
        <v>1728</v>
      </c>
      <c r="F1106" s="2"/>
      <c r="G1106" s="2" t="s">
        <v>1782</v>
      </c>
      <c r="H1106" s="2" t="s">
        <v>1783</v>
      </c>
      <c r="I1106" s="2"/>
      <c r="J1106" s="2">
        <v>1</v>
      </c>
      <c r="K1106" s="2"/>
      <c r="L1106" s="3">
        <v>83.5</v>
      </c>
      <c r="M1106" s="3">
        <v>8.35</v>
      </c>
      <c r="N1106" s="3">
        <v>4.3</v>
      </c>
      <c r="O1106" s="3"/>
      <c r="P1106" s="3">
        <f>7.35-7.35</f>
        <v>0</v>
      </c>
      <c r="Q1106" s="6">
        <f t="shared" ref="Q1106:Q1120" si="2378">+L1106-M1106-N1106+P1106</f>
        <v>70.850000000000009</v>
      </c>
      <c r="R1106" s="3"/>
      <c r="S1106" s="3">
        <v>65.19</v>
      </c>
      <c r="T1106" s="3">
        <v>5.87</v>
      </c>
      <c r="U1106" s="3"/>
      <c r="V1106" s="3"/>
      <c r="W1106" s="3">
        <v>6.52</v>
      </c>
      <c r="X1106" s="2">
        <f t="shared" ref="X1106" si="2379">+S1106+T1106++U1106+V1106-W1106</f>
        <v>64.540000000000006</v>
      </c>
      <c r="Y1106" s="6">
        <f t="shared" ref="Y1106" si="2380">+Q1106-X1106</f>
        <v>6.3100000000000023</v>
      </c>
      <c r="Z1106" s="2"/>
      <c r="AA1106" s="2"/>
      <c r="AB1106" s="2"/>
      <c r="AC1106" s="3"/>
      <c r="AD1106" s="2"/>
      <c r="AE1106" s="2"/>
      <c r="AF1106" s="2"/>
      <c r="AG1106" s="2"/>
      <c r="AH1106" s="2" t="s">
        <v>1785</v>
      </c>
      <c r="AI1106" s="2" t="s">
        <v>1784</v>
      </c>
      <c r="AJ1106" s="2"/>
      <c r="AK1106" s="2"/>
      <c r="AL1106" s="2"/>
      <c r="AM1106" s="2"/>
      <c r="AN1106" s="2"/>
      <c r="AO1106" s="2" t="s">
        <v>1786</v>
      </c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</row>
    <row r="1107" spans="2:58">
      <c r="C1107" s="1">
        <v>43892</v>
      </c>
      <c r="E1107" s="2" t="s">
        <v>1068</v>
      </c>
      <c r="F1107" s="2"/>
      <c r="G1107" s="2" t="s">
        <v>8726</v>
      </c>
      <c r="H1107" s="2" t="s">
        <v>1772</v>
      </c>
      <c r="I1107" s="2"/>
      <c r="J1107" s="2">
        <v>1</v>
      </c>
      <c r="K1107" s="2"/>
      <c r="L1107" s="3">
        <v>23.2</v>
      </c>
      <c r="M1107" s="3">
        <v>2.3199999999999998</v>
      </c>
      <c r="N1107" s="3">
        <v>1.38</v>
      </c>
      <c r="O1107" s="3"/>
      <c r="P1107" s="3">
        <f>1.39-1.39</f>
        <v>0</v>
      </c>
      <c r="Q1107" s="6">
        <f t="shared" si="2378"/>
        <v>19.5</v>
      </c>
      <c r="R1107" s="3"/>
      <c r="S1107" s="3">
        <v>14.49</v>
      </c>
      <c r="T1107" s="3">
        <v>0.87</v>
      </c>
      <c r="U1107" s="3"/>
      <c r="V1107" s="3"/>
      <c r="W1107" s="3"/>
      <c r="X1107" s="2">
        <f t="shared" ref="X1107" si="2381">+S1107+T1107++U1107+V1107-W1107</f>
        <v>15.36</v>
      </c>
      <c r="Y1107" s="6">
        <f t="shared" ref="Y1107" si="2382">+Q1107-X1107</f>
        <v>4.1400000000000006</v>
      </c>
      <c r="Z1107" s="2"/>
      <c r="AA1107" s="2"/>
      <c r="AB1107" s="2"/>
      <c r="AC1107" s="3"/>
      <c r="AD1107" s="2"/>
      <c r="AE1107" s="2"/>
      <c r="AF1107" s="2"/>
      <c r="AG1107" s="2"/>
      <c r="AH1107" s="2" t="s">
        <v>1774</v>
      </c>
      <c r="AI1107" s="2" t="s">
        <v>1773</v>
      </c>
      <c r="AJ1107" s="2"/>
      <c r="AK1107" s="2"/>
      <c r="AL1107" s="2"/>
      <c r="AM1107" s="2"/>
      <c r="AN1107" s="2"/>
      <c r="AO1107" s="2" t="s">
        <v>1775</v>
      </c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</row>
    <row r="1108" spans="2:58">
      <c r="C1108" s="1">
        <v>43891</v>
      </c>
      <c r="E1108" s="2" t="s">
        <v>178</v>
      </c>
      <c r="F1108" s="2"/>
      <c r="G1108" s="2" t="s">
        <v>8725</v>
      </c>
      <c r="H1108" s="2" t="s">
        <v>8724</v>
      </c>
      <c r="I1108" s="2"/>
      <c r="J1108" s="2">
        <v>1</v>
      </c>
      <c r="K1108" s="2"/>
      <c r="L1108" s="3">
        <v>29.5</v>
      </c>
      <c r="M1108" s="3">
        <v>2.95</v>
      </c>
      <c r="N1108" s="3">
        <v>1.69</v>
      </c>
      <c r="O1108" s="3"/>
      <c r="P1108" s="3">
        <v>2.0699999999999998</v>
      </c>
      <c r="Q1108" s="6">
        <f t="shared" si="2378"/>
        <v>26.93</v>
      </c>
      <c r="R1108" s="3"/>
      <c r="S1108" s="3">
        <v>14.98</v>
      </c>
      <c r="T1108" s="3">
        <v>1.05</v>
      </c>
      <c r="U1108" s="3"/>
      <c r="V1108" s="3"/>
      <c r="W1108" s="3"/>
      <c r="X1108" s="2">
        <f t="shared" ref="X1108" si="2383">+S1108+T1108++U1108+V1108-W1108</f>
        <v>16.03</v>
      </c>
      <c r="Y1108" s="6">
        <f t="shared" ref="Y1108" si="2384">+Q1108-X1108</f>
        <v>10.899999999999999</v>
      </c>
      <c r="Z1108" s="6">
        <f>SUM(Y1061:Y1108)</f>
        <v>358.10999999999996</v>
      </c>
      <c r="AA1108" s="2" t="s">
        <v>2017</v>
      </c>
      <c r="AB1108" s="2" t="s">
        <v>2017</v>
      </c>
      <c r="AC1108" s="3"/>
      <c r="AD1108" s="2"/>
      <c r="AE1108" s="2"/>
      <c r="AF1108" s="2"/>
      <c r="AG1108" s="2"/>
      <c r="AH1108" s="2" t="s">
        <v>1771</v>
      </c>
      <c r="AI1108" s="2" t="s">
        <v>1769</v>
      </c>
      <c r="AJ1108" s="2"/>
      <c r="AK1108" s="2"/>
      <c r="AL1108" s="2"/>
      <c r="AM1108" s="2"/>
      <c r="AN1108" s="2"/>
      <c r="AO1108" s="2" t="s">
        <v>1768</v>
      </c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</row>
    <row r="1109" spans="2:58">
      <c r="C1109" s="1"/>
      <c r="E1109" s="2"/>
      <c r="F1109" s="2"/>
      <c r="G1109" s="2"/>
      <c r="H1109" s="2"/>
      <c r="I1109" s="2"/>
      <c r="J1109" s="2">
        <f>SUM(J1061:J1108)</f>
        <v>50</v>
      </c>
      <c r="K1109" s="2"/>
      <c r="L1109" s="3"/>
      <c r="M1109" s="3"/>
      <c r="N1109" s="3"/>
      <c r="O1109" s="3"/>
      <c r="P1109" s="3"/>
      <c r="Q1109" s="6"/>
      <c r="R1109" s="3"/>
      <c r="S1109" s="3"/>
      <c r="T1109" s="3"/>
      <c r="U1109" s="3"/>
      <c r="V1109" s="3"/>
      <c r="W1109" s="3"/>
      <c r="X1109" s="2"/>
      <c r="Y1109" s="6"/>
      <c r="Z1109" s="6"/>
      <c r="AA1109" s="2"/>
      <c r="AB1109" s="2"/>
      <c r="AC1109" s="3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</row>
    <row r="1110" spans="2:58">
      <c r="C1110" s="1"/>
      <c r="E1110" s="2"/>
      <c r="F1110" s="2"/>
      <c r="G1110" s="5" t="s">
        <v>1067</v>
      </c>
      <c r="H1110" s="2"/>
      <c r="I1110" s="2"/>
      <c r="J1110" s="2"/>
      <c r="K1110" s="2"/>
      <c r="L1110" s="3"/>
      <c r="M1110" s="3"/>
      <c r="N1110" s="3"/>
      <c r="O1110" s="3"/>
      <c r="P1110" s="3"/>
      <c r="Q1110" s="6"/>
      <c r="R1110" s="3"/>
      <c r="S1110" s="3"/>
      <c r="T1110" s="3"/>
      <c r="U1110" s="3"/>
      <c r="V1110" s="3"/>
      <c r="W1110" s="3"/>
      <c r="X1110" s="2"/>
      <c r="Y1110" s="6"/>
      <c r="Z1110" s="6"/>
      <c r="AA1110" s="2"/>
      <c r="AB1110" s="2"/>
      <c r="AC1110" s="3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</row>
    <row r="1111" spans="2:58">
      <c r="C1111" s="1">
        <v>43890</v>
      </c>
      <c r="E1111" s="2" t="s">
        <v>1758</v>
      </c>
      <c r="F1111" s="2"/>
      <c r="G1111" s="2" t="s">
        <v>1765</v>
      </c>
      <c r="H1111" s="2" t="s">
        <v>1766</v>
      </c>
      <c r="I1111" s="2"/>
      <c r="J1111" s="2">
        <v>1</v>
      </c>
      <c r="K1111" s="2"/>
      <c r="L1111" s="3">
        <v>75.5</v>
      </c>
      <c r="M1111" s="3">
        <v>7.55</v>
      </c>
      <c r="N1111" s="3">
        <v>3.92</v>
      </c>
      <c r="O1111" s="3"/>
      <c r="P1111" s="3">
        <f>6.7-6.7</f>
        <v>0</v>
      </c>
      <c r="Q1111" s="6">
        <f t="shared" si="2378"/>
        <v>64.03</v>
      </c>
      <c r="R1111" s="3"/>
      <c r="S1111" s="3">
        <v>49.99</v>
      </c>
      <c r="T1111" s="3">
        <v>4.4400000000000004</v>
      </c>
      <c r="U1111" s="3"/>
      <c r="V1111" s="3"/>
      <c r="W1111" s="3"/>
      <c r="X1111" s="2">
        <f t="shared" ref="X1111" si="2385">+S1111+T1111++U1111+V1111-W1111</f>
        <v>54.43</v>
      </c>
      <c r="Y1111" s="6">
        <f t="shared" ref="Y1111" si="2386">+Q1111-X1111</f>
        <v>9.6000000000000014</v>
      </c>
      <c r="Z1111" s="2"/>
      <c r="AA1111" s="2"/>
      <c r="AB1111" s="2"/>
      <c r="AC1111" s="3"/>
      <c r="AD1111" s="2"/>
      <c r="AE1111" s="2"/>
      <c r="AF1111" s="2"/>
      <c r="AG1111" s="2"/>
      <c r="AH1111" s="16" t="s">
        <v>1770</v>
      </c>
      <c r="AI1111" s="2" t="s">
        <v>1763</v>
      </c>
      <c r="AJ1111" s="2"/>
      <c r="AK1111" s="2"/>
      <c r="AL1111" s="2"/>
      <c r="AM1111" s="2"/>
      <c r="AN1111" s="2"/>
      <c r="AO1111" s="16" t="s">
        <v>1764</v>
      </c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</row>
    <row r="1112" spans="2:58">
      <c r="C1112" s="1">
        <v>43889</v>
      </c>
      <c r="E1112" s="2" t="s">
        <v>1752</v>
      </c>
      <c r="F1112" s="2"/>
      <c r="G1112" s="2"/>
      <c r="H1112" s="2"/>
      <c r="I1112" s="2"/>
      <c r="J1112" s="2"/>
      <c r="K1112" s="2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2"/>
      <c r="AA1112" s="2"/>
      <c r="AB1112" s="2"/>
      <c r="AC1112" s="3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</row>
    <row r="1113" spans="2:58">
      <c r="C1113" s="1">
        <v>43889</v>
      </c>
      <c r="E1113" s="2" t="s">
        <v>1714</v>
      </c>
      <c r="F1113" s="2"/>
      <c r="G1113" s="2" t="s">
        <v>1759</v>
      </c>
      <c r="H1113" s="2" t="s">
        <v>1760</v>
      </c>
      <c r="I1113" s="2"/>
      <c r="J1113" s="2">
        <v>1</v>
      </c>
      <c r="K1113" s="2"/>
      <c r="L1113" s="3">
        <v>83.5</v>
      </c>
      <c r="M1113" s="3">
        <v>8.35</v>
      </c>
      <c r="N1113" s="3">
        <v>4.3</v>
      </c>
      <c r="O1113" s="3"/>
      <c r="P1113" s="3">
        <f>7.31-7.31</f>
        <v>0</v>
      </c>
      <c r="Q1113" s="6">
        <f t="shared" si="2378"/>
        <v>70.850000000000009</v>
      </c>
      <c r="R1113" s="3"/>
      <c r="S1113" s="3">
        <v>65.19</v>
      </c>
      <c r="T1113" s="3"/>
      <c r="U1113" s="3"/>
      <c r="V1113" s="3"/>
      <c r="W1113" s="3">
        <v>6.52</v>
      </c>
      <c r="X1113" s="2">
        <f t="shared" ref="X1113" si="2387">+S1113+T1113++U1113+V1113-W1113</f>
        <v>58.67</v>
      </c>
      <c r="Y1113" s="6">
        <f t="shared" ref="Y1113" si="2388">+Q1113-X1113</f>
        <v>12.180000000000007</v>
      </c>
      <c r="Z1113" s="2"/>
      <c r="AA1113" s="2"/>
      <c r="AB1113" s="2"/>
      <c r="AC1113" s="3"/>
      <c r="AD1113" s="2"/>
      <c r="AE1113" s="2"/>
      <c r="AF1113" s="2"/>
      <c r="AG1113" s="2"/>
      <c r="AH1113" s="2" t="s">
        <v>1762</v>
      </c>
      <c r="AI1113" s="2" t="s">
        <v>1761</v>
      </c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</row>
    <row r="1114" spans="2:58">
      <c r="C1114" s="1">
        <v>43889</v>
      </c>
      <c r="E1114" s="2" t="s">
        <v>393</v>
      </c>
      <c r="F1114" s="2"/>
      <c r="G1114" s="2" t="s">
        <v>1720</v>
      </c>
      <c r="H1114" s="2" t="s">
        <v>1721</v>
      </c>
      <c r="I1114" s="2"/>
      <c r="J1114" s="2">
        <v>1</v>
      </c>
      <c r="K1114" s="2"/>
      <c r="L1114" s="3">
        <v>55.36</v>
      </c>
      <c r="M1114" s="3">
        <v>5.53</v>
      </c>
      <c r="N1114" s="3">
        <v>2.91</v>
      </c>
      <c r="O1114" s="3"/>
      <c r="P1114" s="3">
        <v>3.88</v>
      </c>
      <c r="Q1114" s="6">
        <f t="shared" si="2378"/>
        <v>50.800000000000004</v>
      </c>
      <c r="R1114" s="3"/>
      <c r="S1114" s="3">
        <v>33.79</v>
      </c>
      <c r="T1114" s="3">
        <v>2.37</v>
      </c>
      <c r="U1114" s="3"/>
      <c r="V1114" s="3"/>
      <c r="W1114" s="3"/>
      <c r="X1114" s="2">
        <f t="shared" ref="X1114" si="2389">+S1114+T1114++U1114+V1114-W1114</f>
        <v>36.159999999999997</v>
      </c>
      <c r="Y1114" s="6">
        <f t="shared" ref="Y1114" si="2390">+Q1114-X1114</f>
        <v>14.640000000000008</v>
      </c>
      <c r="Z1114" s="2"/>
      <c r="AA1114" s="2"/>
      <c r="AB1114" s="2"/>
      <c r="AC1114" s="3"/>
      <c r="AD1114" s="2"/>
      <c r="AE1114" s="2"/>
      <c r="AF1114" s="2"/>
      <c r="AG1114" s="2"/>
      <c r="AH1114" s="2" t="s">
        <v>1723</v>
      </c>
      <c r="AI1114" s="2" t="s">
        <v>1722</v>
      </c>
      <c r="AJ1114" s="2"/>
      <c r="AK1114" s="2"/>
      <c r="AL1114" s="2"/>
      <c r="AM1114" s="2"/>
      <c r="AN1114" s="2"/>
      <c r="AO1114" s="16" t="s">
        <v>1757</v>
      </c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</row>
    <row r="1115" spans="2:58">
      <c r="C1115" s="1">
        <v>43888</v>
      </c>
      <c r="E1115" s="2" t="s">
        <v>1068</v>
      </c>
      <c r="F1115" s="2"/>
      <c r="G1115" s="2" t="s">
        <v>1724</v>
      </c>
      <c r="H1115" s="2" t="s">
        <v>1725</v>
      </c>
      <c r="I1115" s="2"/>
      <c r="J1115" s="2">
        <v>1</v>
      </c>
      <c r="K1115" s="2"/>
      <c r="L1115" s="3">
        <v>23.2</v>
      </c>
      <c r="M1115" s="3">
        <v>2.3199999999999998</v>
      </c>
      <c r="N1115" s="3">
        <v>1.4</v>
      </c>
      <c r="O1115" s="3"/>
      <c r="P1115" s="3">
        <f>1.4-1.4</f>
        <v>0</v>
      </c>
      <c r="Q1115" s="6">
        <f t="shared" si="2378"/>
        <v>19.48</v>
      </c>
      <c r="R1115" s="3"/>
      <c r="S1115" s="3">
        <v>14.49</v>
      </c>
      <c r="T1115" s="3">
        <v>1.1200000000000001</v>
      </c>
      <c r="U1115" s="3"/>
      <c r="V1115" s="3"/>
      <c r="W1115" s="3"/>
      <c r="X1115" s="2">
        <f t="shared" ref="X1115" si="2391">+S1115+T1115++U1115+V1115-W1115</f>
        <v>15.61</v>
      </c>
      <c r="Y1115" s="6">
        <f t="shared" ref="Y1115" si="2392">+Q1115-X1115</f>
        <v>3.870000000000001</v>
      </c>
      <c r="Z1115" s="2"/>
      <c r="AA1115" s="2"/>
      <c r="AB1115" s="2"/>
      <c r="AC1115" s="3"/>
      <c r="AD1115" s="2"/>
      <c r="AE1115" s="2"/>
      <c r="AF1115" s="2"/>
      <c r="AG1115" s="2"/>
      <c r="AH1115" s="2" t="s">
        <v>1727</v>
      </c>
      <c r="AI1115" s="2" t="s">
        <v>1726</v>
      </c>
      <c r="AJ1115" s="2"/>
      <c r="AK1115" s="2"/>
      <c r="AL1115" s="2"/>
      <c r="AM1115" s="2"/>
      <c r="AN1115" s="2"/>
      <c r="AO1115" s="16" t="s">
        <v>1756</v>
      </c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</row>
    <row r="1116" spans="2:58">
      <c r="C1116" s="1">
        <v>43887</v>
      </c>
      <c r="E1116" s="2" t="s">
        <v>1728</v>
      </c>
      <c r="F1116" s="2"/>
      <c r="G1116" s="2" t="s">
        <v>1744</v>
      </c>
      <c r="H1116" s="2" t="s">
        <v>1745</v>
      </c>
      <c r="I1116" s="2"/>
      <c r="J1116" s="2">
        <v>1</v>
      </c>
      <c r="K1116" s="2"/>
      <c r="L1116" s="3">
        <v>83.5</v>
      </c>
      <c r="M1116" s="3">
        <v>8.35</v>
      </c>
      <c r="N1116" s="3">
        <v>4.2300000000000004</v>
      </c>
      <c r="O1116" s="3"/>
      <c r="P1116" s="3">
        <v>5.85</v>
      </c>
      <c r="Q1116" s="6">
        <f t="shared" si="2378"/>
        <v>76.77</v>
      </c>
      <c r="R1116" s="3"/>
      <c r="S1116" s="3">
        <v>65.19</v>
      </c>
      <c r="T1116" s="3"/>
      <c r="U1116" s="3"/>
      <c r="V1116" s="3"/>
      <c r="W1116" s="3">
        <v>6.52</v>
      </c>
      <c r="X1116" s="2">
        <f t="shared" ref="X1116" si="2393">+S1116+T1116++U1116+V1116-W1116</f>
        <v>58.67</v>
      </c>
      <c r="Y1116" s="6">
        <f t="shared" ref="Y1116" si="2394">+Q1116-X1116</f>
        <v>18.099999999999994</v>
      </c>
      <c r="Z1116" s="2"/>
      <c r="AA1116" s="2"/>
      <c r="AB1116" s="2"/>
      <c r="AC1116" s="3"/>
      <c r="AD1116" s="2"/>
      <c r="AE1116" s="2"/>
      <c r="AF1116" s="2"/>
      <c r="AG1116" s="2"/>
      <c r="AH1116" s="2" t="s">
        <v>1755</v>
      </c>
      <c r="AI1116" s="2" t="s">
        <v>1754</v>
      </c>
      <c r="AJ1116" s="2"/>
      <c r="AK1116" s="2"/>
      <c r="AL1116" s="2"/>
      <c r="AM1116" s="2"/>
      <c r="AN1116" s="2"/>
      <c r="AO1116" s="16" t="s">
        <v>1753</v>
      </c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</row>
    <row r="1117" spans="2:58">
      <c r="C1117" s="1">
        <v>43887</v>
      </c>
      <c r="E1117" s="2" t="s">
        <v>62</v>
      </c>
      <c r="F1117" s="2"/>
      <c r="G1117" s="2" t="s">
        <v>1729</v>
      </c>
      <c r="H1117" s="2" t="s">
        <v>1730</v>
      </c>
      <c r="I1117" s="2"/>
      <c r="J1117" s="2">
        <v>1</v>
      </c>
      <c r="K1117" s="2"/>
      <c r="L1117" s="3">
        <v>53.7</v>
      </c>
      <c r="M1117" s="3">
        <v>5.37</v>
      </c>
      <c r="N1117" s="3">
        <v>2.87</v>
      </c>
      <c r="O1117" s="3"/>
      <c r="P1117" s="3">
        <v>4.62</v>
      </c>
      <c r="Q1117" s="6">
        <f t="shared" si="2378"/>
        <v>50.080000000000005</v>
      </c>
      <c r="R1117" s="3"/>
      <c r="S1117" s="3">
        <v>39.99</v>
      </c>
      <c r="T1117" s="3">
        <v>3.65</v>
      </c>
      <c r="U1117" s="3"/>
      <c r="V1117" s="3"/>
      <c r="W1117" s="3"/>
      <c r="X1117" s="2">
        <f t="shared" ref="X1117" si="2395">+S1117+T1117++U1117+V1117-W1117</f>
        <v>43.64</v>
      </c>
      <c r="Y1117" s="6">
        <f t="shared" ref="Y1117" si="2396">+Q1117-X1117</f>
        <v>6.4400000000000048</v>
      </c>
      <c r="Z1117" s="2"/>
      <c r="AA1117" s="2"/>
      <c r="AB1117" s="2"/>
      <c r="AC1117" s="3"/>
      <c r="AD1117" s="2"/>
      <c r="AE1117" s="2"/>
      <c r="AF1117" s="2"/>
      <c r="AG1117" s="2"/>
      <c r="AH1117" s="2" t="s">
        <v>1732</v>
      </c>
      <c r="AI1117" s="2" t="s">
        <v>1731</v>
      </c>
      <c r="AJ1117" s="2"/>
      <c r="AK1117" s="2"/>
      <c r="AL1117" s="2"/>
      <c r="AM1117" s="2"/>
      <c r="AN1117" s="2"/>
      <c r="AO1117" s="16" t="s">
        <v>1751</v>
      </c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</row>
    <row r="1118" spans="2:58">
      <c r="C1118" s="1">
        <v>43886</v>
      </c>
      <c r="E1118" s="2" t="s">
        <v>1733</v>
      </c>
      <c r="F1118" s="2"/>
      <c r="G1118" s="2" t="s">
        <v>1734</v>
      </c>
      <c r="H1118" s="2" t="s">
        <v>1735</v>
      </c>
      <c r="I1118" s="2"/>
      <c r="J1118" s="2">
        <v>1</v>
      </c>
      <c r="K1118" s="2"/>
      <c r="L1118" s="3">
        <v>35</v>
      </c>
      <c r="M1118" s="3">
        <v>3.5</v>
      </c>
      <c r="N1118" s="3">
        <v>1.97</v>
      </c>
      <c r="O1118" s="3"/>
      <c r="P1118" s="3">
        <v>3.01</v>
      </c>
      <c r="Q1118" s="6">
        <f t="shared" si="2378"/>
        <v>32.54</v>
      </c>
      <c r="R1118" s="3"/>
      <c r="S1118" s="3">
        <v>25.99</v>
      </c>
      <c r="T1118" s="3"/>
      <c r="U1118" s="3"/>
      <c r="V1118" s="3"/>
      <c r="W1118" s="3"/>
      <c r="X1118" s="2">
        <f t="shared" ref="X1118" si="2397">+S1118+T1118++U1118+V1118-W1118</f>
        <v>25.99</v>
      </c>
      <c r="Y1118" s="6">
        <f t="shared" ref="Y1118" si="2398">+Q1118-X1118</f>
        <v>6.5500000000000007</v>
      </c>
      <c r="Z1118" s="2"/>
      <c r="AA1118" s="2"/>
      <c r="AB1118" s="2"/>
      <c r="AC1118" s="3"/>
      <c r="AD1118" s="2"/>
      <c r="AE1118" s="2"/>
      <c r="AF1118" s="2"/>
      <c r="AG1118" s="2"/>
      <c r="AH1118" s="2" t="s">
        <v>1737</v>
      </c>
      <c r="AI1118" s="2" t="s">
        <v>1736</v>
      </c>
      <c r="AJ1118" s="2"/>
      <c r="AK1118" s="2"/>
      <c r="AL1118" s="2"/>
      <c r="AM1118" s="2"/>
      <c r="AN1118" s="2"/>
      <c r="AO1118" s="16" t="s">
        <v>1750</v>
      </c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</row>
    <row r="1119" spans="2:58">
      <c r="C1119" s="1">
        <v>43881</v>
      </c>
      <c r="E1119" s="2" t="s">
        <v>1714</v>
      </c>
      <c r="F1119" s="2"/>
      <c r="G1119" s="2" t="s">
        <v>1739</v>
      </c>
      <c r="H1119" s="2" t="s">
        <v>1740</v>
      </c>
      <c r="I1119" s="2"/>
      <c r="J1119" s="2">
        <v>1</v>
      </c>
      <c r="K1119" s="2"/>
      <c r="L1119" s="3">
        <v>83.5</v>
      </c>
      <c r="M1119" s="3">
        <v>8.35</v>
      </c>
      <c r="N1119" s="3">
        <v>4.2699999999999996</v>
      </c>
      <c r="O1119" s="3"/>
      <c r="P1119" s="3">
        <f>6.68-6.68</f>
        <v>0</v>
      </c>
      <c r="Q1119" s="6">
        <f t="shared" si="2378"/>
        <v>70.88000000000001</v>
      </c>
      <c r="R1119" s="3"/>
      <c r="S1119" s="3">
        <v>65.19</v>
      </c>
      <c r="T1119" s="3">
        <v>5.22</v>
      </c>
      <c r="U1119" s="3"/>
      <c r="V1119" s="3"/>
      <c r="W1119" s="3">
        <v>7.04</v>
      </c>
      <c r="X1119" s="2">
        <f t="shared" ref="X1119:X1120" si="2399">+S1119+T1119++U1119+V1119-W1119</f>
        <v>63.37</v>
      </c>
      <c r="Y1119" s="6">
        <f t="shared" ref="Y1119" si="2400">+Q1119-X1119</f>
        <v>7.5100000000000122</v>
      </c>
      <c r="Z1119" s="2"/>
      <c r="AA1119" s="2"/>
      <c r="AB1119" s="2"/>
      <c r="AC1119" s="3"/>
      <c r="AD1119" s="2"/>
      <c r="AE1119" s="2"/>
      <c r="AF1119" s="2"/>
      <c r="AG1119" s="2"/>
      <c r="AH1119" s="2" t="s">
        <v>1743</v>
      </c>
      <c r="AI1119" s="2" t="s">
        <v>1742</v>
      </c>
      <c r="AJ1119" s="2"/>
      <c r="AK1119" s="2"/>
      <c r="AL1119" s="2"/>
      <c r="AM1119" s="2"/>
      <c r="AN1119" s="2"/>
      <c r="AO1119" s="16" t="s">
        <v>1741</v>
      </c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</row>
    <row r="1120" spans="2:58">
      <c r="C1120" s="1">
        <v>43880</v>
      </c>
      <c r="E1120" s="2" t="s">
        <v>1435</v>
      </c>
      <c r="F1120" s="2"/>
      <c r="G1120" s="2" t="s">
        <v>1746</v>
      </c>
      <c r="H1120" s="2" t="s">
        <v>1747</v>
      </c>
      <c r="I1120" s="2"/>
      <c r="J1120" s="2">
        <v>1</v>
      </c>
      <c r="K1120" s="2"/>
      <c r="L1120" s="3">
        <v>35</v>
      </c>
      <c r="M1120" s="3">
        <v>3.5</v>
      </c>
      <c r="N1120" s="3">
        <v>1.95</v>
      </c>
      <c r="O1120" s="3"/>
      <c r="P1120" s="3">
        <f>2.58-2.58</f>
        <v>0</v>
      </c>
      <c r="Q1120" s="3">
        <f t="shared" si="2378"/>
        <v>29.55</v>
      </c>
      <c r="R1120" s="3"/>
      <c r="S1120" s="3">
        <v>25.99</v>
      </c>
      <c r="T1120" s="3">
        <v>1.92</v>
      </c>
      <c r="U1120" s="3"/>
      <c r="V1120" s="3"/>
      <c r="W1120" s="3">
        <v>0</v>
      </c>
      <c r="X1120" s="2">
        <f t="shared" si="2399"/>
        <v>27.909999999999997</v>
      </c>
      <c r="Y1120" s="6">
        <f t="shared" ref="Y1120:Y1122" si="2401">+Q1120-X1120</f>
        <v>1.6400000000000041</v>
      </c>
      <c r="Z1120" s="2"/>
      <c r="AA1120" s="2"/>
      <c r="AB1120" s="2"/>
      <c r="AC1120" s="3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</row>
    <row r="1121" spans="2:58">
      <c r="C1121" s="1">
        <v>43880</v>
      </c>
      <c r="E1121" s="2" t="s">
        <v>1715</v>
      </c>
      <c r="F1121" s="2"/>
      <c r="G1121" s="2" t="s">
        <v>1717</v>
      </c>
      <c r="H1121" s="2" t="s">
        <v>1718</v>
      </c>
      <c r="I1121" s="2"/>
      <c r="J1121" s="2">
        <v>1</v>
      </c>
      <c r="K1121" s="2"/>
      <c r="L1121" s="3">
        <v>25.6</v>
      </c>
      <c r="M1121" s="3">
        <v>2.56</v>
      </c>
      <c r="N1121" s="3">
        <v>1.49</v>
      </c>
      <c r="O1121" s="3"/>
      <c r="P1121" s="3">
        <f>-1.54+1.54</f>
        <v>0</v>
      </c>
      <c r="Q1121" s="6">
        <f t="shared" ref="Q1121:Q1134" si="2402">+L1121-M1121-N1121+P1121</f>
        <v>21.550000000000004</v>
      </c>
      <c r="R1121" s="3"/>
      <c r="S1121" s="3">
        <v>16.72</v>
      </c>
      <c r="T1121" s="3">
        <v>1.17</v>
      </c>
      <c r="U1121" s="3"/>
      <c r="V1121" s="3"/>
      <c r="W1121" s="3"/>
      <c r="X1121" s="2">
        <f t="shared" ref="X1121:X1122" si="2403">+S1121+T1121++U1121+V1121-W1121</f>
        <v>17.89</v>
      </c>
      <c r="Y1121" s="6">
        <f t="shared" si="2401"/>
        <v>3.6600000000000037</v>
      </c>
      <c r="Z1121" s="2"/>
      <c r="AA1121" s="2"/>
      <c r="AB1121" s="2"/>
      <c r="AC1121" s="3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</row>
    <row r="1122" spans="2:58">
      <c r="B1122" s="20" t="s">
        <v>1370</v>
      </c>
      <c r="C1122" s="1">
        <v>43879</v>
      </c>
      <c r="E1122" s="2" t="s">
        <v>1716</v>
      </c>
      <c r="F1122" s="2"/>
      <c r="G1122" s="2" t="s">
        <v>1815</v>
      </c>
      <c r="H1122" s="2" t="s">
        <v>5743</v>
      </c>
      <c r="I1122" s="2"/>
      <c r="J1122" s="2">
        <v>1</v>
      </c>
      <c r="K1122" s="2"/>
      <c r="L1122" s="3">
        <v>9.8000000000000007</v>
      </c>
      <c r="M1122" s="3">
        <v>0.98</v>
      </c>
      <c r="N1122" s="3">
        <v>0.76</v>
      </c>
      <c r="O1122" s="3"/>
      <c r="P1122" s="3">
        <v>0.69</v>
      </c>
      <c r="Q1122" s="6">
        <f t="shared" si="2402"/>
        <v>8.75</v>
      </c>
      <c r="R1122" s="3"/>
      <c r="S1122" s="3">
        <v>3.14</v>
      </c>
      <c r="T1122" s="3">
        <v>2.91</v>
      </c>
      <c r="U1122" s="3"/>
      <c r="V1122" s="3"/>
      <c r="W1122" s="3"/>
      <c r="X1122" s="3">
        <f t="shared" si="2403"/>
        <v>6.0500000000000007</v>
      </c>
      <c r="Y1122" s="3">
        <f t="shared" si="2401"/>
        <v>2.6999999999999993</v>
      </c>
      <c r="Z1122" s="2"/>
      <c r="AA1122" s="2"/>
      <c r="AB1122" s="2"/>
      <c r="AC1122" s="3"/>
      <c r="AD1122" s="2"/>
      <c r="AE1122" s="2"/>
      <c r="AF1122" s="2" t="s">
        <v>1818</v>
      </c>
      <c r="AG1122" s="2"/>
      <c r="AH1122" s="2" t="s">
        <v>1817</v>
      </c>
      <c r="AI1122" s="2" t="s">
        <v>1816</v>
      </c>
      <c r="AJ1122" s="2"/>
      <c r="AK1122" s="2"/>
      <c r="AL1122" s="2"/>
      <c r="AM1122" s="2"/>
      <c r="AN1122" s="2"/>
      <c r="AO1122" s="16" t="s">
        <v>1819</v>
      </c>
      <c r="AP1122" s="2"/>
      <c r="AQ1122" s="2"/>
      <c r="AR1122" s="19" t="s">
        <v>1820</v>
      </c>
      <c r="AS1122" s="2">
        <v>17</v>
      </c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</row>
    <row r="1123" spans="2:58">
      <c r="C1123" s="1">
        <v>43873</v>
      </c>
      <c r="E1123" s="2" t="s">
        <v>1698</v>
      </c>
      <c r="F1123" s="2"/>
      <c r="G1123" s="2" t="s">
        <v>1701</v>
      </c>
      <c r="H1123" s="2" t="s">
        <v>5744</v>
      </c>
      <c r="I1123" s="2"/>
      <c r="J1123" s="2">
        <v>1</v>
      </c>
      <c r="K1123" s="2"/>
      <c r="L1123" s="3">
        <v>81.5</v>
      </c>
      <c r="M1123" s="3">
        <v>8.15</v>
      </c>
      <c r="N1123" s="3">
        <v>4.1500000000000004</v>
      </c>
      <c r="O1123" s="3"/>
      <c r="P1123" s="3">
        <f>5.91-5.91</f>
        <v>0</v>
      </c>
      <c r="Q1123" s="6">
        <f t="shared" si="2402"/>
        <v>69.199999999999989</v>
      </c>
      <c r="R1123" s="3"/>
      <c r="S1123" s="3">
        <v>65.19</v>
      </c>
      <c r="T1123" s="3"/>
      <c r="U1123" s="3"/>
      <c r="V1123" s="3"/>
      <c r="W1123" s="3">
        <v>6.52</v>
      </c>
      <c r="X1123" s="2">
        <f t="shared" ref="X1123" si="2404">+S1123+T1123++U1123+V1123-W1123</f>
        <v>58.67</v>
      </c>
      <c r="Y1123" s="6">
        <f t="shared" ref="Y1123" si="2405">+Q1123-X1123</f>
        <v>10.529999999999987</v>
      </c>
      <c r="Z1123" s="2"/>
      <c r="AA1123" s="2"/>
      <c r="AB1123" s="2"/>
      <c r="AC1123" s="3"/>
      <c r="AD1123" s="2"/>
      <c r="AE1123" s="2"/>
      <c r="AF1123" s="2"/>
      <c r="AG1123" s="2"/>
      <c r="AH1123" s="2" t="s">
        <v>1704</v>
      </c>
      <c r="AI1123" s="2" t="s">
        <v>1703</v>
      </c>
      <c r="AJ1123" s="2"/>
      <c r="AK1123" s="2"/>
      <c r="AL1123" s="2" t="s">
        <v>4255</v>
      </c>
      <c r="AM1123" s="2"/>
      <c r="AN1123" s="2"/>
      <c r="AO1123" s="16" t="s">
        <v>1702</v>
      </c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</row>
    <row r="1124" spans="2:58">
      <c r="C1124" s="1">
        <v>43872</v>
      </c>
      <c r="E1124" s="2" t="s">
        <v>1699</v>
      </c>
      <c r="F1124" s="2"/>
      <c r="G1124" s="2" t="s">
        <v>1700</v>
      </c>
      <c r="H1124" s="2" t="s">
        <v>5745</v>
      </c>
      <c r="I1124" s="2"/>
      <c r="J1124" s="2">
        <v>1</v>
      </c>
      <c r="K1124" s="2"/>
      <c r="L1124" s="3">
        <v>25.6</v>
      </c>
      <c r="M1124" s="3">
        <v>2.56</v>
      </c>
      <c r="N1124" s="3">
        <v>1.48</v>
      </c>
      <c r="O1124" s="3"/>
      <c r="P1124" s="3">
        <f>1.31-1.31</f>
        <v>0</v>
      </c>
      <c r="Q1124" s="6">
        <f t="shared" si="2402"/>
        <v>21.560000000000002</v>
      </c>
      <c r="R1124" s="3"/>
      <c r="S1124" s="3">
        <v>16.63</v>
      </c>
      <c r="T1124" s="3">
        <v>0.85</v>
      </c>
      <c r="U1124" s="3"/>
      <c r="V1124" s="3"/>
      <c r="W1124" s="3"/>
      <c r="X1124" s="2">
        <f t="shared" ref="X1124" si="2406">+S1124+T1124++U1124+V1124-W1124</f>
        <v>17.48</v>
      </c>
      <c r="Y1124" s="6">
        <f t="shared" ref="Y1124" si="2407">+Q1124-X1124</f>
        <v>4.0800000000000018</v>
      </c>
      <c r="Z1124" s="2"/>
      <c r="AA1124" s="2"/>
      <c r="AB1124" s="2"/>
      <c r="AC1124" s="3"/>
      <c r="AD1124" s="2"/>
      <c r="AE1124" s="2"/>
      <c r="AF1124" s="2"/>
      <c r="AG1124" s="2"/>
      <c r="AH1124" s="2" t="s">
        <v>1707</v>
      </c>
      <c r="AI1124" s="2" t="s">
        <v>1706</v>
      </c>
      <c r="AJ1124" s="2"/>
      <c r="AK1124" s="2"/>
      <c r="AL1124" s="2" t="s">
        <v>4255</v>
      </c>
      <c r="AM1124" s="2"/>
      <c r="AN1124" s="2"/>
      <c r="AO1124" s="16" t="s">
        <v>1705</v>
      </c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</row>
    <row r="1125" spans="2:58">
      <c r="C1125" s="1">
        <v>43871</v>
      </c>
      <c r="E1125" s="2"/>
      <c r="F1125" s="2"/>
      <c r="G1125" s="2" t="s">
        <v>1709</v>
      </c>
      <c r="H1125" s="2"/>
      <c r="I1125" s="2"/>
      <c r="J1125" s="2"/>
      <c r="K1125" s="2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2"/>
      <c r="AA1125" s="2"/>
      <c r="AB1125" s="2"/>
      <c r="AC1125" s="3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</row>
    <row r="1126" spans="2:58">
      <c r="C1126" s="1">
        <v>43870</v>
      </c>
      <c r="E1126" s="2" t="s">
        <v>1597</v>
      </c>
      <c r="F1126" s="2"/>
      <c r="G1126" s="2" t="s">
        <v>1697</v>
      </c>
      <c r="H1126" s="2" t="s">
        <v>5748</v>
      </c>
      <c r="I1126" s="2"/>
      <c r="J1126" s="2">
        <v>1</v>
      </c>
      <c r="K1126" s="2"/>
      <c r="L1126" s="3">
        <v>83.5</v>
      </c>
      <c r="M1126" s="3">
        <v>8.35</v>
      </c>
      <c r="N1126" s="3">
        <v>4.2</v>
      </c>
      <c r="O1126" s="3"/>
      <c r="P1126" s="3">
        <f>5.22-5.22</f>
        <v>0</v>
      </c>
      <c r="Q1126" s="6">
        <f t="shared" si="2402"/>
        <v>70.95</v>
      </c>
      <c r="R1126" s="3"/>
      <c r="S1126" s="3">
        <v>65.19</v>
      </c>
      <c r="T1126" s="3">
        <v>4.07</v>
      </c>
      <c r="U1126" s="3"/>
      <c r="V1126" s="3"/>
      <c r="W1126" s="3">
        <v>6.52</v>
      </c>
      <c r="X1126" s="2">
        <f t="shared" ref="X1126" si="2408">+S1126+T1126++U1126+V1126-W1126</f>
        <v>62.739999999999995</v>
      </c>
      <c r="Y1126" s="6">
        <f t="shared" ref="Y1126" si="2409">+Q1126-X1126</f>
        <v>8.210000000000008</v>
      </c>
      <c r="Z1126" s="2"/>
      <c r="AA1126" s="2"/>
      <c r="AB1126" s="2"/>
      <c r="AC1126" s="3"/>
      <c r="AD1126" s="2"/>
      <c r="AE1126" s="2"/>
      <c r="AF1126" s="2"/>
      <c r="AG1126" s="2"/>
      <c r="AH1126" s="2" t="s">
        <v>5646</v>
      </c>
      <c r="AI1126" t="s">
        <v>5747</v>
      </c>
      <c r="AL1126" s="2"/>
      <c r="AO1126" s="2" t="s">
        <v>5746</v>
      </c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</row>
    <row r="1127" spans="2:58">
      <c r="C1127" s="1">
        <v>43869</v>
      </c>
      <c r="E1127" s="2" t="s">
        <v>1619</v>
      </c>
      <c r="F1127" s="2"/>
      <c r="G1127" s="2" t="s">
        <v>1691</v>
      </c>
      <c r="H1127" s="2" t="s">
        <v>5749</v>
      </c>
      <c r="I1127" s="2"/>
      <c r="J1127" s="2">
        <v>1</v>
      </c>
      <c r="K1127" s="2"/>
      <c r="L1127" s="3">
        <v>83.5</v>
      </c>
      <c r="M1127" s="3">
        <v>8.35</v>
      </c>
      <c r="N1127" s="3">
        <v>3.97</v>
      </c>
      <c r="O1127" s="3"/>
      <c r="P1127" s="3"/>
      <c r="Q1127" s="6">
        <f t="shared" si="2402"/>
        <v>71.180000000000007</v>
      </c>
      <c r="R1127" s="3"/>
      <c r="S1127" s="3">
        <v>65.19</v>
      </c>
      <c r="T1127" s="3">
        <v>0</v>
      </c>
      <c r="U1127" s="3"/>
      <c r="V1127" s="3">
        <v>0</v>
      </c>
      <c r="W1127" s="3">
        <v>6.52</v>
      </c>
      <c r="X1127" s="2">
        <f t="shared" ref="X1127:X1128" si="2410">+S1127+T1127++U1127+V1127-W1127</f>
        <v>58.67</v>
      </c>
      <c r="Y1127" s="6">
        <f t="shared" ref="Y1127:Y1128" si="2411">+Q1127-X1127</f>
        <v>12.510000000000005</v>
      </c>
      <c r="Z1127" s="2"/>
      <c r="AA1127" s="2"/>
      <c r="AB1127" s="2"/>
      <c r="AC1127" s="3"/>
      <c r="AD1127" s="2"/>
      <c r="AE1127" s="2"/>
      <c r="AF1127" s="2"/>
      <c r="AG1127" s="2"/>
      <c r="AH1127" s="2" t="s">
        <v>1694</v>
      </c>
      <c r="AI1127" s="2" t="s">
        <v>1693</v>
      </c>
      <c r="AJ1127" s="2"/>
      <c r="AK1127" s="2"/>
      <c r="AL1127" s="2" t="s">
        <v>4255</v>
      </c>
      <c r="AM1127" s="2"/>
      <c r="AN1127" s="2"/>
      <c r="AO1127" s="2" t="s">
        <v>1692</v>
      </c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</row>
    <row r="1128" spans="2:58">
      <c r="C1128" s="1">
        <v>43869</v>
      </c>
      <c r="E1128" s="2" t="s">
        <v>1687</v>
      </c>
      <c r="F1128" s="2"/>
      <c r="G1128" s="2" t="s">
        <v>1867</v>
      </c>
      <c r="H1128" s="2" t="s">
        <v>1868</v>
      </c>
      <c r="I1128" s="2"/>
      <c r="J1128" s="2">
        <v>1</v>
      </c>
      <c r="K1128" s="2"/>
      <c r="L1128" s="3">
        <v>75.5</v>
      </c>
      <c r="M1128" s="3">
        <v>7.55</v>
      </c>
      <c r="N1128" s="3">
        <v>3.9</v>
      </c>
      <c r="O1128" s="3"/>
      <c r="P1128" s="3">
        <f>6.23-6.23</f>
        <v>0</v>
      </c>
      <c r="Q1128" s="3">
        <f t="shared" si="2402"/>
        <v>64.05</v>
      </c>
      <c r="R1128" s="3"/>
      <c r="S1128" s="3">
        <v>46.99</v>
      </c>
      <c r="T1128" s="3">
        <v>4.99</v>
      </c>
      <c r="U1128" s="3">
        <v>0</v>
      </c>
      <c r="V1128" s="3">
        <v>0</v>
      </c>
      <c r="W1128" s="3">
        <v>4.49</v>
      </c>
      <c r="X1128" s="2">
        <f t="shared" si="2410"/>
        <v>47.49</v>
      </c>
      <c r="Y1128" s="6">
        <f t="shared" si="2411"/>
        <v>16.559999999999995</v>
      </c>
      <c r="Z1128" s="2"/>
      <c r="AA1128" s="2"/>
      <c r="AB1128" s="2"/>
      <c r="AC1128" s="3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</row>
    <row r="1129" spans="2:58">
      <c r="C1129" s="1">
        <v>43867</v>
      </c>
      <c r="E1129" s="2" t="s">
        <v>1669</v>
      </c>
      <c r="F1129" s="2"/>
      <c r="G1129" s="2" t="s">
        <v>1688</v>
      </c>
      <c r="H1129" s="2" t="s">
        <v>5750</v>
      </c>
      <c r="I1129" s="2"/>
      <c r="J1129" s="2">
        <v>1</v>
      </c>
      <c r="K1129" s="2"/>
      <c r="L1129" s="3">
        <v>81.5</v>
      </c>
      <c r="M1129" s="3">
        <v>8.15</v>
      </c>
      <c r="N1129" s="3">
        <v>4.2</v>
      </c>
      <c r="O1129" s="3"/>
      <c r="P1129" s="3">
        <v>0</v>
      </c>
      <c r="Q1129" s="6">
        <f t="shared" si="2402"/>
        <v>69.149999999999991</v>
      </c>
      <c r="R1129" s="3"/>
      <c r="S1129" s="3">
        <v>65.19</v>
      </c>
      <c r="T1129" s="3">
        <v>5.79</v>
      </c>
      <c r="U1129" s="3"/>
      <c r="V1129" s="3"/>
      <c r="W1129" s="3">
        <v>6.52</v>
      </c>
      <c r="X1129" s="2">
        <f t="shared" ref="X1129" si="2412">+S1129+T1129++U1129+V1129-W1129</f>
        <v>64.460000000000008</v>
      </c>
      <c r="Y1129" s="6">
        <f t="shared" ref="Y1129" si="2413">+Q1129-X1129</f>
        <v>4.6899999999999835</v>
      </c>
      <c r="Z1129" s="2"/>
      <c r="AA1129" s="2"/>
      <c r="AB1129" s="2"/>
      <c r="AC1129" s="3"/>
      <c r="AD1129" s="2"/>
      <c r="AE1129" s="2"/>
      <c r="AF1129" s="2"/>
      <c r="AG1129" s="2"/>
      <c r="AH1129" s="2" t="s">
        <v>1690</v>
      </c>
      <c r="AI1129" s="2" t="s">
        <v>1689</v>
      </c>
      <c r="AJ1129" s="2"/>
      <c r="AK1129" s="2"/>
      <c r="AL1129" s="2" t="s">
        <v>4255</v>
      </c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</row>
    <row r="1130" spans="2:58">
      <c r="C1130" s="1">
        <v>43866</v>
      </c>
      <c r="E1130" s="2" t="s">
        <v>1670</v>
      </c>
      <c r="F1130" s="2"/>
      <c r="G1130" s="2" t="s">
        <v>1680</v>
      </c>
      <c r="H1130" s="2" t="s">
        <v>1681</v>
      </c>
      <c r="I1130" s="2"/>
      <c r="J1130" s="2">
        <v>1</v>
      </c>
      <c r="K1130" s="2"/>
      <c r="L1130" s="3">
        <v>83.5</v>
      </c>
      <c r="M1130" s="3">
        <v>8.35</v>
      </c>
      <c r="N1130" s="3">
        <v>4.3</v>
      </c>
      <c r="O1130" s="3"/>
      <c r="P1130" s="3">
        <v>0</v>
      </c>
      <c r="Q1130" s="6">
        <f t="shared" si="2402"/>
        <v>70.850000000000009</v>
      </c>
      <c r="R1130" s="3"/>
      <c r="S1130" s="3">
        <v>65.19</v>
      </c>
      <c r="T1130" s="3">
        <v>5.7</v>
      </c>
      <c r="U1130" s="3"/>
      <c r="V1130" s="3"/>
      <c r="W1130" s="3">
        <v>6.52</v>
      </c>
      <c r="X1130" s="2">
        <f t="shared" ref="X1130:X1131" si="2414">+S1130+T1130++U1130+V1130-W1130</f>
        <v>64.37</v>
      </c>
      <c r="Y1130" s="6">
        <f t="shared" ref="Y1130:Y1131" si="2415">+Q1130-X1130</f>
        <v>6.480000000000004</v>
      </c>
      <c r="Z1130" s="2"/>
      <c r="AA1130" s="2"/>
      <c r="AB1130" s="2"/>
      <c r="AC1130" s="3"/>
      <c r="AD1130" s="2"/>
      <c r="AE1130" s="2"/>
      <c r="AF1130" s="2"/>
      <c r="AG1130" s="2"/>
      <c r="AH1130" s="2" t="s">
        <v>1679</v>
      </c>
      <c r="AI1130" s="2" t="s">
        <v>1678</v>
      </c>
      <c r="AJ1130" s="2"/>
      <c r="AK1130" s="2"/>
      <c r="AL1130" s="2" t="s">
        <v>4255</v>
      </c>
      <c r="AM1130" s="2"/>
      <c r="AN1130" s="2"/>
      <c r="AO1130" s="16" t="s">
        <v>1677</v>
      </c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</row>
    <row r="1131" spans="2:58">
      <c r="C1131" s="1">
        <v>43866</v>
      </c>
      <c r="E1131" s="2" t="s">
        <v>1671</v>
      </c>
      <c r="F1131" s="2"/>
      <c r="G1131" t="s">
        <v>1748</v>
      </c>
      <c r="H1131" t="s">
        <v>1749</v>
      </c>
      <c r="J1131" s="2">
        <v>1</v>
      </c>
      <c r="L1131" s="3">
        <v>35</v>
      </c>
      <c r="M1131" s="3">
        <v>3.5</v>
      </c>
      <c r="N1131" s="3">
        <v>1.94</v>
      </c>
      <c r="P1131">
        <f>2.36-2.36</f>
        <v>0</v>
      </c>
      <c r="Q1131" s="6">
        <f t="shared" si="2402"/>
        <v>29.56</v>
      </c>
      <c r="S1131" s="3">
        <v>25.99</v>
      </c>
      <c r="T1131" s="3">
        <v>1.75</v>
      </c>
      <c r="U1131" s="3">
        <v>0</v>
      </c>
      <c r="V1131" s="3">
        <v>0</v>
      </c>
      <c r="W1131" s="3">
        <v>0</v>
      </c>
      <c r="X1131" s="2">
        <f t="shared" si="2414"/>
        <v>27.74</v>
      </c>
      <c r="Y1131" s="6">
        <f t="shared" si="2415"/>
        <v>1.8200000000000003</v>
      </c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</row>
    <row r="1132" spans="2:58">
      <c r="B1132" s="20" t="s">
        <v>1370</v>
      </c>
      <c r="C1132" s="1">
        <v>43864</v>
      </c>
      <c r="E1132" s="2" t="s">
        <v>1686</v>
      </c>
      <c r="F1132" s="2"/>
      <c r="G1132" s="2" t="s">
        <v>1710</v>
      </c>
      <c r="H1132" t="s">
        <v>2780</v>
      </c>
      <c r="J1132">
        <v>1</v>
      </c>
      <c r="K1132" s="2"/>
      <c r="L1132" s="3">
        <v>83.5</v>
      </c>
      <c r="M1132" s="3">
        <v>8.35</v>
      </c>
      <c r="N1132" s="3">
        <v>4.28</v>
      </c>
      <c r="O1132" s="3"/>
      <c r="P1132" s="3">
        <v>-6.89</v>
      </c>
      <c r="Q1132" s="6">
        <f t="shared" si="2402"/>
        <v>63.980000000000004</v>
      </c>
      <c r="R1132" s="3"/>
      <c r="S1132" s="3">
        <v>65.19</v>
      </c>
      <c r="T1132" s="3">
        <v>5.38</v>
      </c>
      <c r="U1132" s="3"/>
      <c r="V1132" s="3"/>
      <c r="W1132" s="3">
        <v>6.52</v>
      </c>
      <c r="X1132" s="2">
        <f t="shared" ref="X1132" si="2416">+S1132+T1132++U1132+V1132-W1132</f>
        <v>64.05</v>
      </c>
      <c r="Y1132" s="6">
        <f t="shared" ref="Y1132" si="2417">+Q1132-X1132</f>
        <v>-6.9999999999993179E-2</v>
      </c>
      <c r="Z1132" s="2"/>
      <c r="AA1132" s="2"/>
      <c r="AB1132" s="2"/>
      <c r="AC1132" s="3"/>
      <c r="AD1132" s="2"/>
      <c r="AE1132" s="2"/>
      <c r="AF1132" s="2" t="s">
        <v>1711</v>
      </c>
      <c r="AG1132" s="2"/>
      <c r="AH1132" s="2" t="s">
        <v>1656</v>
      </c>
      <c r="AI1132" s="2" t="s">
        <v>1655</v>
      </c>
      <c r="AJ1132" s="2"/>
      <c r="AK1132" s="2"/>
      <c r="AL1132" s="2" t="s">
        <v>4255</v>
      </c>
      <c r="AM1132" s="2"/>
      <c r="AN1132" s="2"/>
      <c r="AO1132" s="16" t="s">
        <v>1666</v>
      </c>
      <c r="AP1132" s="2"/>
      <c r="AQ1132" s="2"/>
      <c r="AR1132" s="19" t="s">
        <v>1712</v>
      </c>
      <c r="AS1132" s="2">
        <v>16</v>
      </c>
      <c r="AT1132" s="19" t="s">
        <v>1713</v>
      </c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</row>
    <row r="1133" spans="2:58">
      <c r="C1133" s="1">
        <v>43863</v>
      </c>
      <c r="E1133" s="2" t="s">
        <v>1665</v>
      </c>
      <c r="F1133" s="2"/>
      <c r="G1133" s="2" t="s">
        <v>1663</v>
      </c>
      <c r="H1133" s="2" t="s">
        <v>1664</v>
      </c>
      <c r="I1133" s="2"/>
      <c r="J1133" s="2">
        <v>1</v>
      </c>
      <c r="K1133" s="2"/>
      <c r="L1133" s="3">
        <v>16.5</v>
      </c>
      <c r="M1133" s="3">
        <v>1.65</v>
      </c>
      <c r="N1133" s="3">
        <v>1.08</v>
      </c>
      <c r="O1133" s="3"/>
      <c r="P1133" s="3">
        <v>0</v>
      </c>
      <c r="Q1133" s="6">
        <f t="shared" si="2402"/>
        <v>13.77</v>
      </c>
      <c r="R1133" s="3"/>
      <c r="S1133" s="3">
        <v>16.989999999999998</v>
      </c>
      <c r="T1133" s="3">
        <v>1.36</v>
      </c>
      <c r="U1133" s="3"/>
      <c r="V1133" s="3"/>
      <c r="W1133" s="3"/>
      <c r="X1133" s="2">
        <f t="shared" ref="X1133" si="2418">+S1133+T1133++U1133+V1133-W1133</f>
        <v>18.349999999999998</v>
      </c>
      <c r="Y1133" s="6">
        <f t="shared" ref="Y1133" si="2419">+Q1133-X1133</f>
        <v>-4.5799999999999983</v>
      </c>
      <c r="Z1133" s="2"/>
      <c r="AA1133" s="2"/>
      <c r="AB1133" s="2"/>
      <c r="AC1133" s="3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</row>
    <row r="1134" spans="2:58">
      <c r="C1134" s="1">
        <v>43862</v>
      </c>
      <c r="E1134" s="2" t="s">
        <v>1657</v>
      </c>
      <c r="F1134" s="2"/>
      <c r="G1134" s="2" t="s">
        <v>1672</v>
      </c>
      <c r="H1134" s="2" t="s">
        <v>1673</v>
      </c>
      <c r="I1134" s="2"/>
      <c r="J1134" s="2">
        <v>1</v>
      </c>
      <c r="K1134" s="2"/>
      <c r="L1134" s="3">
        <v>81.5</v>
      </c>
      <c r="M1134" s="3">
        <v>8.15</v>
      </c>
      <c r="N1134" s="3">
        <v>4.18</v>
      </c>
      <c r="O1134" s="3"/>
      <c r="P1134" s="3">
        <v>0</v>
      </c>
      <c r="Q1134" s="6">
        <f t="shared" si="2402"/>
        <v>69.169999999999987</v>
      </c>
      <c r="R1134" s="3"/>
      <c r="S1134" s="3">
        <v>65.19</v>
      </c>
      <c r="T1134" s="3">
        <v>5.38</v>
      </c>
      <c r="U1134" s="3"/>
      <c r="V1134" s="3"/>
      <c r="W1134" s="3">
        <v>6.52</v>
      </c>
      <c r="X1134" s="2">
        <f t="shared" ref="X1134" si="2420">+S1134+T1134++U1134+V1134-W1134</f>
        <v>64.05</v>
      </c>
      <c r="Y1134" s="6">
        <f t="shared" ref="Y1134" si="2421">+Q1134-X1134</f>
        <v>5.1199999999999903</v>
      </c>
      <c r="Z1134" s="6">
        <f>SUM(Y1111:Y1134)</f>
        <v>152.24000000000007</v>
      </c>
      <c r="AA1134" s="2">
        <v>24</v>
      </c>
      <c r="AB1134" s="2"/>
      <c r="AC1134" s="3"/>
      <c r="AD1134" s="2"/>
      <c r="AE1134" s="2"/>
      <c r="AF1134" s="2"/>
      <c r="AG1134" s="2"/>
      <c r="AH1134" s="2" t="s">
        <v>1676</v>
      </c>
      <c r="AI1134" s="2" t="s">
        <v>1675</v>
      </c>
      <c r="AJ1134" s="2"/>
      <c r="AK1134" s="2"/>
      <c r="AL1134" s="2" t="s">
        <v>4255</v>
      </c>
      <c r="AM1134" s="2"/>
      <c r="AN1134" s="2" t="s">
        <v>1683</v>
      </c>
      <c r="AO1134" s="16" t="s">
        <v>1674</v>
      </c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</row>
    <row r="1135" spans="2:58">
      <c r="C1135" s="1"/>
      <c r="E1135" s="2"/>
      <c r="F1135" s="2"/>
      <c r="G1135" s="2"/>
      <c r="H1135" s="2"/>
      <c r="I1135" s="2"/>
      <c r="J1135" s="2">
        <f>SUM(J1111:J1134)</f>
        <v>22</v>
      </c>
      <c r="K1135" s="2"/>
      <c r="L1135" s="3"/>
      <c r="M1135" s="3"/>
      <c r="N1135" s="3"/>
      <c r="O1135" s="3"/>
      <c r="P1135" s="3"/>
      <c r="Q1135" s="6"/>
      <c r="R1135" s="3"/>
      <c r="S1135" s="3"/>
      <c r="T1135" s="3"/>
      <c r="U1135" s="3"/>
      <c r="V1135" s="3"/>
      <c r="W1135" s="3"/>
      <c r="X1135" s="2"/>
      <c r="Y1135" s="6"/>
      <c r="Z1135" s="6"/>
      <c r="AA1135" s="2"/>
      <c r="AB1135" s="2"/>
      <c r="AC1135" s="3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16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</row>
    <row r="1136" spans="2:58">
      <c r="C1136" s="1"/>
      <c r="E1136" s="2"/>
      <c r="F1136" s="2"/>
      <c r="G1136" s="2"/>
      <c r="H1136" s="2"/>
      <c r="I1136" s="2"/>
      <c r="J1136" s="2"/>
      <c r="K1136" s="2"/>
      <c r="L1136" s="3"/>
      <c r="M1136" s="3"/>
      <c r="N1136" s="3"/>
      <c r="O1136" s="3"/>
      <c r="P1136" s="3"/>
      <c r="Q1136" s="6"/>
      <c r="R1136" s="3"/>
      <c r="S1136" s="3"/>
      <c r="T1136" s="3"/>
      <c r="U1136" s="3"/>
      <c r="V1136" s="3"/>
      <c r="W1136" s="3"/>
      <c r="X1136" s="2"/>
      <c r="Y1136" s="6"/>
      <c r="Z1136" s="2"/>
      <c r="AA1136" s="2"/>
      <c r="AB1136" s="2"/>
      <c r="AC1136" s="3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16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</row>
    <row r="1137" spans="2:58">
      <c r="C1137" s="1">
        <v>43859</v>
      </c>
      <c r="E1137" s="2" t="s">
        <v>1649</v>
      </c>
      <c r="F1137" s="2"/>
      <c r="G1137" t="s">
        <v>1658</v>
      </c>
      <c r="H1137" t="s">
        <v>1659</v>
      </c>
      <c r="J1137">
        <v>1</v>
      </c>
      <c r="L1137" s="3">
        <v>83.5</v>
      </c>
      <c r="M1137" s="3">
        <v>8.35</v>
      </c>
      <c r="N1137" s="3">
        <v>4.28</v>
      </c>
      <c r="P1137" s="3">
        <v>0</v>
      </c>
      <c r="Q1137" s="6">
        <f>+L1137-M1137-N1137+P1137</f>
        <v>70.87</v>
      </c>
      <c r="S1137" s="3">
        <v>65.19</v>
      </c>
      <c r="T1137" s="3">
        <v>5.38</v>
      </c>
      <c r="W1137" s="3">
        <v>6.52</v>
      </c>
      <c r="X1137" s="2">
        <f t="shared" ref="X1137" si="2422">+S1137+T1137++U1137+V1137-W1137</f>
        <v>64.05</v>
      </c>
      <c r="Y1137" s="6">
        <f t="shared" ref="Y1137" si="2423">+Q1137-X1137</f>
        <v>6.8200000000000074</v>
      </c>
      <c r="AH1137" s="2" t="s">
        <v>1662</v>
      </c>
      <c r="AI1137" s="2" t="s">
        <v>1661</v>
      </c>
      <c r="AJ1137" s="2"/>
      <c r="AK1137" s="2"/>
      <c r="AL1137" s="2" t="s">
        <v>4255</v>
      </c>
      <c r="AM1137" s="2"/>
      <c r="AN1137" s="2" t="s">
        <v>1683</v>
      </c>
      <c r="AO1137" s="2" t="s">
        <v>1668</v>
      </c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</row>
    <row r="1138" spans="2:58">
      <c r="C1138" s="1">
        <v>43859</v>
      </c>
      <c r="E1138" s="2" t="s">
        <v>1649</v>
      </c>
      <c r="F1138" s="2"/>
      <c r="G1138" s="2" t="s">
        <v>1651</v>
      </c>
      <c r="H1138" s="2" t="s">
        <v>1652</v>
      </c>
      <c r="I1138" s="2"/>
      <c r="J1138" s="2">
        <v>1</v>
      </c>
      <c r="K1138" s="2"/>
      <c r="L1138" s="3">
        <v>83.5</v>
      </c>
      <c r="M1138" s="3">
        <v>8.35</v>
      </c>
      <c r="N1138" s="3">
        <v>4.34</v>
      </c>
      <c r="O1138" s="3"/>
      <c r="P1138" s="3"/>
      <c r="Q1138" s="6">
        <f>+L1138-M1138-N1138+P1138</f>
        <v>70.81</v>
      </c>
      <c r="R1138" s="3"/>
      <c r="S1138" s="3">
        <v>65.19</v>
      </c>
      <c r="T1138" s="3">
        <v>0</v>
      </c>
      <c r="U1138" s="3"/>
      <c r="V1138" s="3"/>
      <c r="W1138" s="3">
        <v>6.52</v>
      </c>
      <c r="X1138" s="2">
        <f t="shared" ref="X1138" si="2424">+S1138+T1138++U1138+V1138-W1138</f>
        <v>58.67</v>
      </c>
      <c r="Y1138" s="6">
        <f t="shared" ref="Y1138" si="2425">+Q1138-X1138</f>
        <v>12.14</v>
      </c>
      <c r="Z1138" s="2"/>
      <c r="AA1138" s="2"/>
      <c r="AB1138" s="2"/>
      <c r="AC1138" s="3"/>
      <c r="AD1138" s="2"/>
      <c r="AE1138" s="2"/>
      <c r="AF1138" s="2"/>
      <c r="AG1138" s="2"/>
      <c r="AH1138" s="2" t="s">
        <v>1654</v>
      </c>
      <c r="AI1138" s="2" t="s">
        <v>1653</v>
      </c>
      <c r="AJ1138" s="2"/>
      <c r="AK1138" s="2"/>
      <c r="AL1138" s="2" t="s">
        <v>4255</v>
      </c>
      <c r="AM1138" s="2"/>
      <c r="AN1138" s="2" t="s">
        <v>1683</v>
      </c>
      <c r="AO1138" s="16" t="s">
        <v>1682</v>
      </c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</row>
    <row r="1139" spans="2:58">
      <c r="C1139" s="1">
        <v>43859</v>
      </c>
      <c r="E1139" s="2" t="s">
        <v>927</v>
      </c>
      <c r="F1139" s="2"/>
      <c r="G1139" s="2"/>
      <c r="H1139" s="2"/>
      <c r="I1139" s="2"/>
      <c r="J1139" s="2"/>
      <c r="K1139" s="2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 t="s">
        <v>1635</v>
      </c>
      <c r="Y1139" s="3"/>
      <c r="Z1139" s="2"/>
      <c r="AA1139" s="2"/>
      <c r="AB1139" s="2"/>
      <c r="AC1139" s="3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</row>
    <row r="1140" spans="2:58">
      <c r="C1140" s="1">
        <v>43857</v>
      </c>
      <c r="E1140" s="2" t="s">
        <v>1559</v>
      </c>
      <c r="F1140" s="2"/>
      <c r="G1140" s="2" t="s">
        <v>1644</v>
      </c>
      <c r="H1140" s="2" t="s">
        <v>1645</v>
      </c>
      <c r="I1140" s="2"/>
      <c r="J1140" s="2">
        <v>1</v>
      </c>
      <c r="K1140" s="2"/>
      <c r="L1140" s="3">
        <v>83.5</v>
      </c>
      <c r="M1140" s="3">
        <v>8.35</v>
      </c>
      <c r="N1140" s="3">
        <v>4.2</v>
      </c>
      <c r="O1140" s="3"/>
      <c r="P1140" s="3">
        <v>0</v>
      </c>
      <c r="Q1140" s="6">
        <f t="shared" ref="Q1140:Q1146" si="2426">+L1140-M1140-N1140+P1140</f>
        <v>70.95</v>
      </c>
      <c r="R1140" s="3"/>
      <c r="S1140" s="3">
        <v>65.19</v>
      </c>
      <c r="T1140" s="3"/>
      <c r="U1140" s="3"/>
      <c r="V1140" s="3"/>
      <c r="W1140" s="3">
        <v>6.52</v>
      </c>
      <c r="X1140" s="2">
        <f t="shared" ref="X1140" si="2427">+S1140+T1140++U1140+V1140-W1140</f>
        <v>58.67</v>
      </c>
      <c r="Y1140" s="6">
        <f t="shared" ref="Y1140" si="2428">+Q1140-X1140</f>
        <v>12.280000000000001</v>
      </c>
      <c r="Z1140" s="2"/>
      <c r="AA1140" s="2"/>
      <c r="AB1140" s="2"/>
      <c r="AC1140" s="3"/>
      <c r="AD1140" s="2"/>
      <c r="AE1140" s="2"/>
      <c r="AF1140" s="2"/>
      <c r="AG1140" s="2"/>
      <c r="AH1140" s="2" t="s">
        <v>1643</v>
      </c>
      <c r="AI1140" s="2" t="s">
        <v>1642</v>
      </c>
      <c r="AJ1140" s="2"/>
      <c r="AK1140" s="2"/>
      <c r="AL1140" s="2" t="s">
        <v>4255</v>
      </c>
      <c r="AM1140" s="2"/>
      <c r="AN1140" s="2" t="s">
        <v>1684</v>
      </c>
      <c r="AO1140" s="16" t="s">
        <v>1650</v>
      </c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</row>
    <row r="1141" spans="2:58">
      <c r="C1141" s="1">
        <v>43856</v>
      </c>
      <c r="E1141" s="2" t="s">
        <v>393</v>
      </c>
      <c r="F1141" s="2"/>
      <c r="G1141" s="2" t="s">
        <v>1640</v>
      </c>
      <c r="H1141" s="2" t="s">
        <v>1641</v>
      </c>
      <c r="I1141" s="2"/>
      <c r="J1141" s="2">
        <v>1</v>
      </c>
      <c r="K1141" s="2"/>
      <c r="L1141" s="3">
        <v>55.36</v>
      </c>
      <c r="M1141" s="3">
        <v>5.53</v>
      </c>
      <c r="N1141" s="3">
        <v>2.91</v>
      </c>
      <c r="O1141" s="3"/>
      <c r="P1141" s="3">
        <v>-3.88</v>
      </c>
      <c r="Q1141" s="6">
        <f t="shared" si="2426"/>
        <v>43.04</v>
      </c>
      <c r="R1141" s="3"/>
      <c r="S1141" s="3">
        <v>33.79</v>
      </c>
      <c r="T1141" s="3">
        <v>2.37</v>
      </c>
      <c r="U1141" s="3"/>
      <c r="V1141" s="3"/>
      <c r="W1141" s="3">
        <v>0</v>
      </c>
      <c r="X1141" s="2">
        <f t="shared" ref="X1141" si="2429">+S1141+T1141++U1141+V1141-W1141</f>
        <v>36.159999999999997</v>
      </c>
      <c r="Y1141" s="6">
        <f t="shared" ref="Y1141:Y1143" si="2430">+Q1141-X1141</f>
        <v>6.8800000000000026</v>
      </c>
      <c r="Z1141" s="2"/>
      <c r="AA1141" s="2"/>
      <c r="AB1141" s="2"/>
      <c r="AC1141" s="3"/>
      <c r="AD1141" s="2"/>
      <c r="AE1141" s="2"/>
      <c r="AF1141" s="2"/>
      <c r="AG1141" s="2"/>
      <c r="AH1141" s="2" t="s">
        <v>1639</v>
      </c>
      <c r="AI1141" s="2" t="s">
        <v>1638</v>
      </c>
      <c r="AJ1141" s="2"/>
      <c r="AK1141" s="2"/>
      <c r="AL1141" s="2" t="s">
        <v>4255</v>
      </c>
      <c r="AM1141" s="2"/>
      <c r="AN1141" s="2"/>
      <c r="AO1141" s="16" t="s">
        <v>1637</v>
      </c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</row>
    <row r="1142" spans="2:58">
      <c r="C1142" s="1">
        <v>43855</v>
      </c>
      <c r="E1142" s="2" t="s">
        <v>1646</v>
      </c>
      <c r="F1142" s="2"/>
      <c r="G1142" s="2" t="s">
        <v>1647</v>
      </c>
      <c r="H1142" s="2" t="s">
        <v>1648</v>
      </c>
      <c r="I1142" s="2"/>
      <c r="J1142" s="2">
        <v>1</v>
      </c>
      <c r="K1142" s="2"/>
      <c r="L1142" s="3">
        <v>26</v>
      </c>
      <c r="M1142" s="3">
        <v>2.6</v>
      </c>
      <c r="N1142" s="3">
        <v>1.49</v>
      </c>
      <c r="O1142" s="3"/>
      <c r="P1142" s="3">
        <v>-1.04</v>
      </c>
      <c r="Q1142" s="6">
        <f t="shared" si="2426"/>
        <v>20.87</v>
      </c>
      <c r="R1142" s="3"/>
      <c r="S1142" s="3">
        <v>17.989999999999998</v>
      </c>
      <c r="T1142" s="3">
        <v>0.75</v>
      </c>
      <c r="U1142" s="3"/>
      <c r="V1142" s="3"/>
      <c r="W1142" s="3"/>
      <c r="X1142" s="2">
        <f t="shared" ref="X1142" si="2431">+S1142+T1142++U1142+V1142-W1142</f>
        <v>18.739999999999998</v>
      </c>
      <c r="Y1142" s="6">
        <f t="shared" ref="Y1142" si="2432">+Q1142-X1142</f>
        <v>2.1300000000000026</v>
      </c>
      <c r="Z1142" s="2"/>
      <c r="AA1142" s="2"/>
      <c r="AB1142" s="2"/>
      <c r="AC1142" s="3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</row>
    <row r="1143" spans="2:58">
      <c r="C1143" s="1">
        <v>43852</v>
      </c>
      <c r="E1143" s="2" t="s">
        <v>1619</v>
      </c>
      <c r="F1143" s="2"/>
      <c r="G1143" s="2" t="s">
        <v>1631</v>
      </c>
      <c r="H1143" s="2" t="s">
        <v>1632</v>
      </c>
      <c r="I1143" s="2"/>
      <c r="J1143" s="2">
        <v>1</v>
      </c>
      <c r="K1143" s="2"/>
      <c r="L1143" s="3">
        <v>83.5</v>
      </c>
      <c r="M1143" s="3">
        <v>8.35</v>
      </c>
      <c r="N1143" s="3">
        <v>3.97</v>
      </c>
      <c r="O1143" s="3"/>
      <c r="P1143" s="3"/>
      <c r="Q1143" s="6">
        <f t="shared" si="2426"/>
        <v>71.180000000000007</v>
      </c>
      <c r="R1143" s="3"/>
      <c r="S1143" s="3">
        <v>65.19</v>
      </c>
      <c r="T1143" s="3"/>
      <c r="U1143" s="3"/>
      <c r="V1143" s="3"/>
      <c r="W1143" s="3">
        <v>6.52</v>
      </c>
      <c r="X1143" s="2">
        <f t="shared" ref="X1143" si="2433">+S1143+T1143++U1143+V1143-W1143</f>
        <v>58.67</v>
      </c>
      <c r="Y1143" s="6">
        <f t="shared" si="2430"/>
        <v>12.510000000000005</v>
      </c>
      <c r="Z1143" s="2"/>
      <c r="AA1143" s="2"/>
      <c r="AB1143" s="2"/>
      <c r="AC1143" s="3"/>
      <c r="AD1143" s="2"/>
      <c r="AE1143" s="2"/>
      <c r="AF1143" s="2"/>
      <c r="AG1143" s="2"/>
      <c r="AH1143" s="2" t="s">
        <v>1634</v>
      </c>
      <c r="AI1143" s="2" t="s">
        <v>1633</v>
      </c>
      <c r="AJ1143" s="2"/>
      <c r="AK1143" s="2"/>
      <c r="AL1143" s="2" t="s">
        <v>4255</v>
      </c>
      <c r="AM1143" s="2"/>
      <c r="AN1143" s="2" t="s">
        <v>1683</v>
      </c>
      <c r="AO1143" s="16" t="s">
        <v>1636</v>
      </c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</row>
    <row r="1144" spans="2:58">
      <c r="C1144" s="1">
        <v>43852</v>
      </c>
      <c r="E1144" s="2" t="s">
        <v>393</v>
      </c>
      <c r="F1144" s="2"/>
      <c r="G1144" s="2" t="s">
        <v>1620</v>
      </c>
      <c r="H1144" s="2" t="s">
        <v>1621</v>
      </c>
      <c r="I1144" s="2"/>
      <c r="J1144" s="2">
        <v>1</v>
      </c>
      <c r="K1144" s="2"/>
      <c r="L1144" s="3">
        <v>55.36</v>
      </c>
      <c r="M1144" s="3">
        <v>5.53</v>
      </c>
      <c r="N1144" s="3">
        <v>2.74</v>
      </c>
      <c r="O1144" s="3"/>
      <c r="P1144" s="3"/>
      <c r="Q1144" s="6">
        <f t="shared" si="2426"/>
        <v>47.089999999999996</v>
      </c>
      <c r="R1144" s="3"/>
      <c r="S1144" s="3">
        <v>33.79</v>
      </c>
      <c r="T1144" s="3">
        <v>3.89</v>
      </c>
      <c r="U1144" s="3"/>
      <c r="V1144" s="3"/>
      <c r="W1144" s="3"/>
      <c r="X1144" s="2">
        <f t="shared" ref="X1144" si="2434">+S1144+T1144++U1144+V1144-W1144</f>
        <v>37.68</v>
      </c>
      <c r="Y1144" s="6">
        <f t="shared" ref="Y1144" si="2435">+Q1144-X1144</f>
        <v>9.4099999999999966</v>
      </c>
      <c r="Z1144" s="2"/>
      <c r="AA1144" s="2"/>
      <c r="AB1144" s="2"/>
      <c r="AC1144" s="3"/>
      <c r="AD1144" s="2"/>
      <c r="AE1144" s="2"/>
      <c r="AF1144" s="2"/>
      <c r="AG1144" s="2"/>
      <c r="AH1144" s="2" t="s">
        <v>1623</v>
      </c>
      <c r="AI1144" s="2" t="s">
        <v>1622</v>
      </c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</row>
    <row r="1145" spans="2:58">
      <c r="C1145" s="1">
        <v>43851</v>
      </c>
      <c r="E1145" s="2" t="s">
        <v>62</v>
      </c>
      <c r="F1145" s="2"/>
      <c r="G1145" s="2" t="s">
        <v>1615</v>
      </c>
      <c r="H1145" s="2" t="s">
        <v>1616</v>
      </c>
      <c r="I1145" s="2"/>
      <c r="J1145" s="2">
        <v>1</v>
      </c>
      <c r="K1145" s="2"/>
      <c r="L1145" s="3">
        <v>53.6</v>
      </c>
      <c r="M1145" s="3">
        <v>5.36</v>
      </c>
      <c r="N1145" s="3">
        <v>2.89</v>
      </c>
      <c r="O1145" s="3"/>
      <c r="P1145" s="3">
        <v>-5.31</v>
      </c>
      <c r="Q1145" s="6">
        <f t="shared" si="2426"/>
        <v>40.04</v>
      </c>
      <c r="R1145" s="3"/>
      <c r="S1145" s="3">
        <v>39.99</v>
      </c>
      <c r="T1145" s="3"/>
      <c r="U1145" s="3"/>
      <c r="V1145" s="3"/>
      <c r="W1145" s="3"/>
      <c r="X1145" s="2">
        <f t="shared" ref="X1145" si="2436">+S1145+T1145++U1145+V1145-W1145</f>
        <v>39.99</v>
      </c>
      <c r="Y1145" s="6">
        <f t="shared" ref="Y1145" si="2437">+Q1145-X1145</f>
        <v>4.9999999999997158E-2</v>
      </c>
      <c r="Z1145" s="2"/>
      <c r="AA1145" s="2"/>
      <c r="AB1145" s="2"/>
      <c r="AC1145" s="3"/>
      <c r="AD1145" s="2"/>
      <c r="AE1145" s="2"/>
      <c r="AF1145" s="2"/>
      <c r="AG1145" s="2"/>
      <c r="AH1145" s="2" t="s">
        <v>1618</v>
      </c>
      <c r="AI1145" s="2" t="s">
        <v>1617</v>
      </c>
      <c r="AJ1145" s="2"/>
      <c r="AK1145" s="2"/>
      <c r="AL1145" s="2"/>
      <c r="AM1145" s="2"/>
      <c r="AN1145" s="2"/>
      <c r="AO1145" s="16" t="s">
        <v>1630</v>
      </c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</row>
    <row r="1146" spans="2:58">
      <c r="B1146" s="30" t="s">
        <v>1370</v>
      </c>
      <c r="C1146" s="1">
        <v>43849</v>
      </c>
      <c r="E1146" s="2" t="s">
        <v>1494</v>
      </c>
      <c r="F1146" s="2"/>
      <c r="G1146" s="2" t="s">
        <v>1603</v>
      </c>
      <c r="H1146" s="2" t="s">
        <v>3228</v>
      </c>
      <c r="I1146" s="2"/>
      <c r="J1146" s="2">
        <v>1</v>
      </c>
      <c r="K1146" s="2"/>
      <c r="L1146" s="3">
        <v>14</v>
      </c>
      <c r="M1146" s="3">
        <v>1.4</v>
      </c>
      <c r="N1146" s="3">
        <v>0.96</v>
      </c>
      <c r="O1146" s="3"/>
      <c r="P1146" s="3"/>
      <c r="Q1146" s="6">
        <f t="shared" si="2426"/>
        <v>11.64</v>
      </c>
      <c r="R1146" s="3"/>
      <c r="S1146" s="3">
        <v>7.14</v>
      </c>
      <c r="T1146" s="3"/>
      <c r="U1146" s="3"/>
      <c r="V1146" s="3"/>
      <c r="W1146" s="3"/>
      <c r="X1146" s="2">
        <f t="shared" ref="X1146:X1147" si="2438">+S1146+T1146++U1146+V1146-W1146</f>
        <v>7.14</v>
      </c>
      <c r="Y1146" s="6">
        <f t="shared" ref="Y1146:Y1147" si="2439">+Q1146-X1146</f>
        <v>4.5000000000000009</v>
      </c>
      <c r="Z1146" s="2"/>
      <c r="AA1146" s="2"/>
      <c r="AB1146" s="2"/>
      <c r="AC1146" s="3"/>
      <c r="AD1146" s="2"/>
      <c r="AE1146" s="2"/>
      <c r="AF1146" s="2"/>
      <c r="AG1146" s="2"/>
      <c r="AH1146" s="2" t="s">
        <v>1602</v>
      </c>
      <c r="AI1146" s="2" t="s">
        <v>1601</v>
      </c>
      <c r="AJ1146" s="2"/>
      <c r="AK1146" s="2" t="s">
        <v>1600</v>
      </c>
      <c r="AL1146" s="2"/>
      <c r="AM1146" s="2"/>
      <c r="AN1146" s="2"/>
      <c r="AO1146" s="16" t="s">
        <v>1599</v>
      </c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</row>
    <row r="1147" spans="2:58">
      <c r="C1147" s="1">
        <v>43848</v>
      </c>
      <c r="E1147" s="2" t="s">
        <v>1597</v>
      </c>
      <c r="F1147" s="2"/>
      <c r="G1147" s="2" t="s">
        <v>1610</v>
      </c>
      <c r="H1147" s="2" t="s">
        <v>1611</v>
      </c>
      <c r="I1147" s="2"/>
      <c r="J1147" s="2">
        <v>1</v>
      </c>
      <c r="K1147" s="2"/>
      <c r="L1147" s="3">
        <v>83.5</v>
      </c>
      <c r="M1147" s="3">
        <v>8.35</v>
      </c>
      <c r="N1147" s="3">
        <v>4.28</v>
      </c>
      <c r="O1147" s="3"/>
      <c r="P1147" s="3">
        <v>-6.89</v>
      </c>
      <c r="Q1147" s="6">
        <f t="shared" ref="Q1147:Q1158" si="2440">+L1147-M1147-N1147+P1147</f>
        <v>63.980000000000004</v>
      </c>
      <c r="R1147" s="3"/>
      <c r="S1147" s="3">
        <v>65.19</v>
      </c>
      <c r="T1147" s="3">
        <v>5.38</v>
      </c>
      <c r="U1147" s="3"/>
      <c r="V1147" s="3"/>
      <c r="W1147" s="3">
        <v>6.52</v>
      </c>
      <c r="X1147" s="2">
        <f t="shared" si="2438"/>
        <v>64.05</v>
      </c>
      <c r="Y1147" s="6">
        <f t="shared" si="2439"/>
        <v>-6.9999999999993179E-2</v>
      </c>
      <c r="Z1147" s="2"/>
      <c r="AA1147" s="2"/>
      <c r="AB1147" s="2"/>
      <c r="AC1147" s="3"/>
      <c r="AD1147" s="2"/>
      <c r="AE1147" s="2"/>
      <c r="AF1147" s="2"/>
      <c r="AG1147" s="2"/>
      <c r="AH1147" s="2" t="s">
        <v>1656</v>
      </c>
      <c r="AI1147" s="2" t="s">
        <v>1655</v>
      </c>
      <c r="AJ1147" s="2"/>
      <c r="AK1147" s="2"/>
      <c r="AL1147" s="2" t="s">
        <v>4255</v>
      </c>
      <c r="AM1147" s="2"/>
      <c r="AN1147" s="2" t="s">
        <v>1683</v>
      </c>
      <c r="AO1147" s="16" t="s">
        <v>1685</v>
      </c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</row>
    <row r="1148" spans="2:58">
      <c r="C1148" s="1">
        <v>43847</v>
      </c>
      <c r="E1148" s="2" t="s">
        <v>927</v>
      </c>
      <c r="F1148" s="2"/>
      <c r="G1148" s="2" t="s">
        <v>1591</v>
      </c>
      <c r="H1148" s="2" t="s">
        <v>1592</v>
      </c>
      <c r="I1148" s="2"/>
      <c r="J1148" s="2">
        <v>1</v>
      </c>
      <c r="K1148" s="2"/>
      <c r="L1148" s="3">
        <v>35.6</v>
      </c>
      <c r="M1148" s="3">
        <v>3.56</v>
      </c>
      <c r="N1148" s="3">
        <v>1.97</v>
      </c>
      <c r="O1148" s="3"/>
      <c r="P1148" s="3">
        <v>-2.4</v>
      </c>
      <c r="Q1148" s="6">
        <f t="shared" si="2440"/>
        <v>27.67</v>
      </c>
      <c r="R1148" s="3"/>
      <c r="S1148" s="3">
        <v>24.99</v>
      </c>
      <c r="T1148" s="3">
        <v>1.69</v>
      </c>
      <c r="U1148" s="3"/>
      <c r="V1148" s="3"/>
      <c r="W1148" s="3"/>
      <c r="X1148" s="2">
        <f t="shared" ref="X1148:X1158" si="2441">+S1148+T1148++U1148+V1148-W1148</f>
        <v>26.68</v>
      </c>
      <c r="Y1148" s="6">
        <f t="shared" ref="Y1148:Y1158" si="2442">+Q1148-X1148</f>
        <v>0.99000000000000199</v>
      </c>
      <c r="Z1148" s="2"/>
      <c r="AA1148" s="2"/>
      <c r="AB1148" s="2"/>
      <c r="AC1148" s="3"/>
      <c r="AD1148" s="2"/>
      <c r="AE1148" s="2"/>
      <c r="AF1148" s="2"/>
      <c r="AG1148" s="2"/>
      <c r="AH1148" s="2" t="s">
        <v>1626</v>
      </c>
      <c r="AI1148" s="2" t="s">
        <v>1625</v>
      </c>
      <c r="AJ1148" s="2"/>
      <c r="AK1148" s="2"/>
      <c r="AL1148" s="2" t="s">
        <v>4255</v>
      </c>
      <c r="AM1148" s="2"/>
      <c r="AN1148" s="2"/>
      <c r="AO1148" s="16" t="s">
        <v>1624</v>
      </c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</row>
    <row r="1149" spans="2:58">
      <c r="B1149" t="s">
        <v>1660</v>
      </c>
      <c r="C1149" s="1">
        <v>43847</v>
      </c>
      <c r="E1149" s="2" t="s">
        <v>62</v>
      </c>
      <c r="F1149" s="2"/>
      <c r="G1149" s="2" t="s">
        <v>1589</v>
      </c>
      <c r="H1149" s="2" t="s">
        <v>1590</v>
      </c>
      <c r="I1149" s="2"/>
      <c r="J1149" s="2">
        <v>1</v>
      </c>
      <c r="K1149" s="2"/>
      <c r="L1149" s="3">
        <v>53.5</v>
      </c>
      <c r="M1149" s="3">
        <v>5.35</v>
      </c>
      <c r="N1149" s="3">
        <v>2.8</v>
      </c>
      <c r="O1149" s="3"/>
      <c r="P1149" s="3">
        <v>-3.21</v>
      </c>
      <c r="Q1149" s="6">
        <f t="shared" si="2440"/>
        <v>42.14</v>
      </c>
      <c r="R1149" s="3"/>
      <c r="S1149" s="3">
        <v>39.99</v>
      </c>
      <c r="T1149" s="3">
        <v>2.4</v>
      </c>
      <c r="U1149" s="3"/>
      <c r="V1149" s="3"/>
      <c r="W1149" s="3"/>
      <c r="X1149" s="2">
        <f t="shared" si="2441"/>
        <v>42.39</v>
      </c>
      <c r="Y1149" s="6">
        <f t="shared" si="2442"/>
        <v>-0.25</v>
      </c>
      <c r="Z1149" s="2"/>
      <c r="AA1149" s="2"/>
      <c r="AB1149" s="2"/>
      <c r="AC1149" s="3"/>
      <c r="AD1149" s="2"/>
      <c r="AE1149" s="2"/>
      <c r="AF1149" s="2"/>
      <c r="AG1149" s="2"/>
      <c r="AH1149" s="2" t="s">
        <v>1613</v>
      </c>
      <c r="AI1149" s="2" t="s">
        <v>1612</v>
      </c>
      <c r="AJ1149" s="2"/>
      <c r="AK1149" s="2"/>
      <c r="AL1149" s="2" t="s">
        <v>4255</v>
      </c>
      <c r="AM1149" s="2"/>
      <c r="AN1149" s="2"/>
      <c r="AO1149" s="16" t="s">
        <v>1614</v>
      </c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</row>
    <row r="1150" spans="2:58">
      <c r="B1150" s="20" t="s">
        <v>1370</v>
      </c>
      <c r="C1150" s="1">
        <v>43847</v>
      </c>
      <c r="E1150" s="2" t="s">
        <v>1521</v>
      </c>
      <c r="F1150" s="2"/>
      <c r="G1150" s="2" t="s">
        <v>1604</v>
      </c>
      <c r="H1150" s="5" t="s">
        <v>3540</v>
      </c>
      <c r="I1150" s="2"/>
      <c r="J1150" s="2">
        <v>1</v>
      </c>
      <c r="K1150" s="2"/>
      <c r="L1150" s="3">
        <v>17.899999999999999</v>
      </c>
      <c r="M1150" s="3">
        <v>1.79</v>
      </c>
      <c r="N1150" s="3">
        <v>1.0900000000000001</v>
      </c>
      <c r="O1150" s="3"/>
      <c r="P1150" s="3"/>
      <c r="Q1150" s="6">
        <f t="shared" ref="Q1150" si="2443">+L1150-M1150-N1150+P1150</f>
        <v>15.02</v>
      </c>
      <c r="R1150" s="3"/>
      <c r="S1150" s="2">
        <v>8.7899999999999991</v>
      </c>
      <c r="T1150" s="3">
        <v>3.37</v>
      </c>
      <c r="U1150" s="3"/>
      <c r="V1150" s="3"/>
      <c r="W1150" s="3"/>
      <c r="X1150" s="2">
        <f t="shared" ref="X1150" si="2444">+S1150+T1150++U1150+V1150-W1150</f>
        <v>12.16</v>
      </c>
      <c r="Y1150" s="6">
        <f t="shared" ref="Y1150" si="2445">+Q1150-X1150</f>
        <v>2.8599999999999994</v>
      </c>
      <c r="Z1150" s="2"/>
      <c r="AA1150" s="2"/>
      <c r="AB1150" s="2"/>
      <c r="AC1150" s="3"/>
      <c r="AD1150" s="2"/>
      <c r="AE1150" s="2"/>
      <c r="AF1150" s="2" t="s">
        <v>1609</v>
      </c>
      <c r="AG1150" s="2"/>
      <c r="AH1150" s="2" t="s">
        <v>1608</v>
      </c>
      <c r="AI1150" s="2" t="s">
        <v>1607</v>
      </c>
      <c r="AJ1150" s="2"/>
      <c r="AK1150" s="2" t="s">
        <v>1606</v>
      </c>
      <c r="AL1150" s="2"/>
      <c r="AM1150" s="2"/>
      <c r="AN1150" s="2"/>
      <c r="AO1150" s="16" t="s">
        <v>1605</v>
      </c>
      <c r="AP1150" s="2"/>
      <c r="AQ1150" s="2"/>
      <c r="AR1150" s="19" t="s">
        <v>1719</v>
      </c>
      <c r="AS1150" s="2">
        <v>39</v>
      </c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</row>
    <row r="1151" spans="2:58">
      <c r="B1151" s="20" t="s">
        <v>1370</v>
      </c>
      <c r="C1151" s="1">
        <v>43846</v>
      </c>
      <c r="E1151" s="2" t="s">
        <v>1341</v>
      </c>
      <c r="F1151" s="2"/>
      <c r="G1151" s="2" t="s">
        <v>1582</v>
      </c>
      <c r="H1151" s="2" t="s">
        <v>1583</v>
      </c>
      <c r="I1151" s="2"/>
      <c r="J1151" s="2">
        <v>1</v>
      </c>
      <c r="K1151" s="2"/>
      <c r="L1151" s="3">
        <v>16.600000000000001</v>
      </c>
      <c r="M1151" s="3">
        <v>1.66</v>
      </c>
      <c r="N1151" s="3">
        <v>1.08</v>
      </c>
      <c r="O1151" s="3"/>
      <c r="P1151" s="3">
        <v>-1.1000000000000001</v>
      </c>
      <c r="Q1151" s="6">
        <f t="shared" si="2440"/>
        <v>12.760000000000002</v>
      </c>
      <c r="R1151" s="3"/>
      <c r="S1151" s="2">
        <v>4.6100000000000003</v>
      </c>
      <c r="T1151" s="2">
        <v>3.47</v>
      </c>
      <c r="V1151" s="3"/>
      <c r="W1151" s="3"/>
      <c r="X1151" s="2">
        <f t="shared" si="2441"/>
        <v>8.08</v>
      </c>
      <c r="Y1151" s="6">
        <f t="shared" si="2442"/>
        <v>4.6800000000000015</v>
      </c>
      <c r="Z1151" s="2"/>
      <c r="AA1151" s="2"/>
      <c r="AB1151" s="2"/>
      <c r="AC1151" s="3"/>
      <c r="AD1151" s="2"/>
      <c r="AE1151" s="2"/>
      <c r="AF1151" s="2" t="s">
        <v>1512</v>
      </c>
      <c r="AG1151" s="2"/>
      <c r="AH1151" s="2" t="s">
        <v>1585</v>
      </c>
      <c r="AI1151" s="2" t="s">
        <v>1584</v>
      </c>
      <c r="AJ1151" s="2"/>
      <c r="AK1151" s="2" t="s">
        <v>1564</v>
      </c>
      <c r="AL1151" s="2"/>
      <c r="AM1151" s="2"/>
      <c r="AN1151" s="2"/>
      <c r="AO1151" s="16" t="s">
        <v>1586</v>
      </c>
      <c r="AP1151" s="2"/>
      <c r="AQ1151" s="2"/>
      <c r="AR1151" s="19" t="s">
        <v>1695</v>
      </c>
      <c r="AS1151" s="2">
        <v>22</v>
      </c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</row>
    <row r="1152" spans="2:58">
      <c r="B1152" s="26" t="s">
        <v>1370</v>
      </c>
      <c r="C1152" s="1">
        <v>43845</v>
      </c>
      <c r="E1152" s="2" t="s">
        <v>1521</v>
      </c>
      <c r="F1152" s="2"/>
      <c r="G1152" s="2" t="s">
        <v>1581</v>
      </c>
      <c r="H1152" s="2" t="s">
        <v>3536</v>
      </c>
      <c r="I1152" s="2"/>
      <c r="J1152" s="2">
        <v>1</v>
      </c>
      <c r="K1152" s="2"/>
      <c r="L1152" s="3">
        <v>17.5</v>
      </c>
      <c r="M1152" s="3">
        <v>1.75</v>
      </c>
      <c r="N1152" s="3">
        <v>1.07</v>
      </c>
      <c r="O1152" s="3"/>
      <c r="P1152" s="3"/>
      <c r="Q1152" s="6">
        <f t="shared" si="2440"/>
        <v>14.68</v>
      </c>
      <c r="R1152" s="3"/>
      <c r="S1152" s="3">
        <v>8.7899999999999991</v>
      </c>
      <c r="T1152" s="3"/>
      <c r="U1152" s="3">
        <v>3.25</v>
      </c>
      <c r="V1152" s="3"/>
      <c r="W1152" s="3"/>
      <c r="X1152" s="2">
        <f t="shared" si="2441"/>
        <v>12.04</v>
      </c>
      <c r="Y1152" s="6">
        <f t="shared" si="2442"/>
        <v>2.6400000000000006</v>
      </c>
      <c r="Z1152" s="2"/>
      <c r="AA1152" s="2"/>
      <c r="AB1152" s="2"/>
      <c r="AC1152" s="3"/>
      <c r="AD1152" s="2"/>
      <c r="AE1152" s="2"/>
      <c r="AF1152" s="2" t="s">
        <v>1580</v>
      </c>
      <c r="AG1152" s="2"/>
      <c r="AH1152" s="2" t="s">
        <v>1579</v>
      </c>
      <c r="AI1152" s="2" t="s">
        <v>1578</v>
      </c>
      <c r="AJ1152" s="2"/>
      <c r="AK1152" s="2" t="s">
        <v>1564</v>
      </c>
      <c r="AL1152" s="2"/>
      <c r="AM1152" s="2"/>
      <c r="AN1152" s="2"/>
      <c r="AO1152" s="16" t="s">
        <v>1577</v>
      </c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</row>
    <row r="1153" spans="2:58">
      <c r="C1153" s="1">
        <v>43845</v>
      </c>
      <c r="E1153" s="2" t="s">
        <v>62</v>
      </c>
      <c r="F1153" s="2"/>
      <c r="G1153" s="2" t="s">
        <v>1587</v>
      </c>
      <c r="H1153" s="2" t="s">
        <v>1588</v>
      </c>
      <c r="I1153" s="2"/>
      <c r="J1153" s="2">
        <v>1</v>
      </c>
      <c r="K1153" s="2"/>
      <c r="L1153" s="3">
        <v>53.5</v>
      </c>
      <c r="M1153" s="3">
        <v>5.35</v>
      </c>
      <c r="N1153" s="3">
        <v>2.81</v>
      </c>
      <c r="O1153" s="3"/>
      <c r="P1153" s="3">
        <v>-3.61</v>
      </c>
      <c r="Q1153" s="6">
        <f t="shared" si="2440"/>
        <v>41.73</v>
      </c>
      <c r="R1153" s="3"/>
      <c r="S1153" s="3">
        <v>39.99</v>
      </c>
      <c r="T1153" s="3">
        <v>2.7</v>
      </c>
      <c r="U1153" s="3">
        <v>0</v>
      </c>
      <c r="V1153" s="3">
        <v>0</v>
      </c>
      <c r="W1153" s="3">
        <v>0</v>
      </c>
      <c r="X1153" s="2">
        <f t="shared" si="2441"/>
        <v>42.690000000000005</v>
      </c>
      <c r="Y1153" s="6">
        <f t="shared" si="2442"/>
        <v>-0.96000000000000796</v>
      </c>
      <c r="Z1153" s="2"/>
      <c r="AA1153" s="2"/>
      <c r="AB1153" s="2"/>
      <c r="AC1153" s="3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</row>
    <row r="1154" spans="2:58">
      <c r="C1154" s="1">
        <v>43842</v>
      </c>
      <c r="E1154" s="2" t="s">
        <v>1571</v>
      </c>
      <c r="F1154" s="2"/>
      <c r="G1154" s="2" t="s">
        <v>1572</v>
      </c>
      <c r="H1154" s="2" t="s">
        <v>1573</v>
      </c>
      <c r="I1154" s="2"/>
      <c r="J1154" s="2">
        <v>1</v>
      </c>
      <c r="K1154" s="2"/>
      <c r="L1154" s="3">
        <v>26</v>
      </c>
      <c r="M1154" s="3">
        <v>2.6</v>
      </c>
      <c r="N1154" s="3">
        <v>1.52</v>
      </c>
      <c r="O1154" s="3"/>
      <c r="P1154" s="3">
        <v>1.82</v>
      </c>
      <c r="Q1154" s="6">
        <f t="shared" si="2440"/>
        <v>23.7</v>
      </c>
      <c r="R1154" s="3"/>
      <c r="S1154" s="3">
        <v>17.989999999999998</v>
      </c>
      <c r="T1154" s="3">
        <v>1.82</v>
      </c>
      <c r="U1154" s="3"/>
      <c r="V1154" s="3"/>
      <c r="W1154" s="3"/>
      <c r="X1154" s="2">
        <f t="shared" si="2441"/>
        <v>19.809999999999999</v>
      </c>
      <c r="Y1154" s="6">
        <f t="shared" si="2442"/>
        <v>3.8900000000000006</v>
      </c>
      <c r="Z1154" s="2"/>
      <c r="AA1154" s="2"/>
      <c r="AB1154" s="2"/>
      <c r="AC1154" s="3"/>
      <c r="AD1154" s="2"/>
      <c r="AE1154" s="2"/>
      <c r="AF1154" s="2"/>
      <c r="AG1154" s="2"/>
      <c r="AH1154" s="2" t="s">
        <v>1575</v>
      </c>
      <c r="AI1154" s="2" t="s">
        <v>1574</v>
      </c>
      <c r="AJ1154" s="2"/>
      <c r="AK1154" s="2"/>
      <c r="AL1154" s="2"/>
      <c r="AM1154" s="2"/>
      <c r="AN1154" s="2"/>
      <c r="AO1154" s="14" t="s">
        <v>1576</v>
      </c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</row>
    <row r="1155" spans="2:58">
      <c r="B1155" s="30" t="s">
        <v>1370</v>
      </c>
      <c r="C1155" s="1">
        <v>43842</v>
      </c>
      <c r="E1155" s="2" t="s">
        <v>1521</v>
      </c>
      <c r="F1155" s="2"/>
      <c r="G1155" s="2" t="s">
        <v>1560</v>
      </c>
      <c r="H1155" s="2" t="s">
        <v>4070</v>
      </c>
      <c r="I1155" s="2"/>
      <c r="J1155" s="2">
        <v>1</v>
      </c>
      <c r="K1155" s="2"/>
      <c r="L1155" s="3">
        <v>17.5</v>
      </c>
      <c r="M1155" s="3">
        <v>1.75</v>
      </c>
      <c r="N1155" s="3">
        <v>1.07</v>
      </c>
      <c r="O1155" s="3"/>
      <c r="P1155" s="3">
        <v>0</v>
      </c>
      <c r="Q1155" s="6">
        <f t="shared" si="2440"/>
        <v>14.68</v>
      </c>
      <c r="R1155" s="3"/>
      <c r="S1155" s="3">
        <v>8.7899999999999991</v>
      </c>
      <c r="T1155" s="3"/>
      <c r="U1155" s="3">
        <v>3.25</v>
      </c>
      <c r="V1155" s="3"/>
      <c r="W1155" s="3"/>
      <c r="X1155" s="2">
        <f t="shared" si="2441"/>
        <v>12.04</v>
      </c>
      <c r="Y1155" s="6">
        <f t="shared" si="2442"/>
        <v>2.6400000000000006</v>
      </c>
      <c r="Z1155" s="2"/>
      <c r="AA1155" s="2"/>
      <c r="AB1155" s="2"/>
      <c r="AC1155" s="3"/>
      <c r="AD1155" s="2"/>
      <c r="AE1155" s="2"/>
      <c r="AF1155" s="2" t="s">
        <v>1563</v>
      </c>
      <c r="AG1155" s="2"/>
      <c r="AH1155" s="2" t="s">
        <v>1562</v>
      </c>
      <c r="AI1155" s="2" t="s">
        <v>1561</v>
      </c>
      <c r="AJ1155" s="2"/>
      <c r="AK1155" s="2" t="s">
        <v>1564</v>
      </c>
      <c r="AL1155" s="2"/>
      <c r="AM1155" s="2"/>
      <c r="AN1155" s="2"/>
      <c r="AO1155" s="16" t="s">
        <v>1570</v>
      </c>
      <c r="AP1155" s="2" t="s">
        <v>1627</v>
      </c>
      <c r="AQ1155" s="2"/>
      <c r="AR1155" s="21" t="s">
        <v>602</v>
      </c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</row>
    <row r="1156" spans="2:58">
      <c r="B1156" t="s">
        <v>1548</v>
      </c>
      <c r="C1156" s="1">
        <v>43840</v>
      </c>
      <c r="E1156" s="2" t="s">
        <v>1559</v>
      </c>
      <c r="F1156" s="2"/>
      <c r="G1156" s="2" t="s">
        <v>1593</v>
      </c>
      <c r="H1156" s="2" t="s">
        <v>1594</v>
      </c>
      <c r="I1156" s="2"/>
      <c r="J1156" s="2">
        <v>1</v>
      </c>
      <c r="K1156" s="2"/>
      <c r="L1156" s="3">
        <v>83.5</v>
      </c>
      <c r="M1156" s="3">
        <v>8.35</v>
      </c>
      <c r="N1156" s="3">
        <v>4.32</v>
      </c>
      <c r="O1156" s="3"/>
      <c r="P1156" s="3">
        <v>-7.93</v>
      </c>
      <c r="Q1156" s="3">
        <f t="shared" si="2440"/>
        <v>62.900000000000013</v>
      </c>
      <c r="R1156" s="3"/>
      <c r="S1156" s="3">
        <v>65.19</v>
      </c>
      <c r="T1156" s="3">
        <v>6.19</v>
      </c>
      <c r="U1156" s="3">
        <v>0</v>
      </c>
      <c r="V1156" s="3">
        <v>0</v>
      </c>
      <c r="W1156" s="3">
        <v>6.52</v>
      </c>
      <c r="X1156" s="2">
        <f t="shared" si="2441"/>
        <v>64.86</v>
      </c>
      <c r="Y1156" s="6">
        <f t="shared" si="2442"/>
        <v>-1.9599999999999866</v>
      </c>
      <c r="Z1156" s="2"/>
      <c r="AA1156" s="2"/>
      <c r="AB1156" s="2"/>
      <c r="AC1156" s="3"/>
      <c r="AD1156" s="2"/>
      <c r="AE1156" s="2"/>
      <c r="AF1156" s="2"/>
      <c r="AG1156" s="2"/>
      <c r="AH1156" s="2" t="s">
        <v>1596</v>
      </c>
      <c r="AI1156" s="2" t="s">
        <v>1595</v>
      </c>
      <c r="AJ1156" s="2"/>
      <c r="AK1156" s="2"/>
      <c r="AL1156" s="2" t="s">
        <v>4255</v>
      </c>
      <c r="AM1156" s="2"/>
      <c r="AN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</row>
    <row r="1157" spans="2:58">
      <c r="C1157" s="1">
        <v>43840</v>
      </c>
      <c r="E1157" s="2" t="s">
        <v>1264</v>
      </c>
      <c r="F1157" s="2"/>
      <c r="G1157" s="2" t="s">
        <v>1566</v>
      </c>
      <c r="H1157" s="2" t="s">
        <v>1567</v>
      </c>
      <c r="I1157" s="2"/>
      <c r="J1157" s="2">
        <v>1</v>
      </c>
      <c r="K1157" s="2"/>
      <c r="L1157" s="3">
        <v>15.5</v>
      </c>
      <c r="M1157" s="3">
        <v>1.55</v>
      </c>
      <c r="N1157" s="3">
        <v>1.02</v>
      </c>
      <c r="O1157" s="3"/>
      <c r="P1157" s="3">
        <v>-0.85</v>
      </c>
      <c r="Q1157" s="6">
        <f t="shared" si="2440"/>
        <v>12.08</v>
      </c>
      <c r="R1157" s="3"/>
      <c r="S1157" s="3">
        <v>8.99</v>
      </c>
      <c r="T1157" s="3">
        <v>0.49</v>
      </c>
      <c r="U1157" s="3"/>
      <c r="V1157" s="3"/>
      <c r="W1157" s="3"/>
      <c r="X1157" s="2">
        <f t="shared" si="2441"/>
        <v>9.48</v>
      </c>
      <c r="Y1157" s="6">
        <f t="shared" si="2442"/>
        <v>2.5999999999999996</v>
      </c>
      <c r="Z1157" s="2"/>
      <c r="AA1157" s="2"/>
      <c r="AB1157" s="2"/>
      <c r="AC1157" s="3"/>
      <c r="AD1157" s="2"/>
      <c r="AE1157" s="2"/>
      <c r="AF1157" s="2"/>
      <c r="AG1157" s="2"/>
      <c r="AH1157" s="2" t="s">
        <v>1569</v>
      </c>
      <c r="AI1157" s="2" t="s">
        <v>1568</v>
      </c>
      <c r="AJ1157" s="2"/>
      <c r="AK1157" s="2"/>
      <c r="AL1157" s="2" t="s">
        <v>4255</v>
      </c>
      <c r="AM1157" s="2"/>
      <c r="AN1157" s="2"/>
      <c r="AO1157" s="2" t="s">
        <v>1565</v>
      </c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</row>
    <row r="1158" spans="2:58">
      <c r="C1158" s="1">
        <v>43838</v>
      </c>
      <c r="E1158" s="2" t="s">
        <v>1552</v>
      </c>
      <c r="F1158" s="2"/>
      <c r="G1158" s="2" t="s">
        <v>1553</v>
      </c>
      <c r="H1158" s="2" t="s">
        <v>1554</v>
      </c>
      <c r="I1158" s="2"/>
      <c r="J1158" s="2">
        <v>1</v>
      </c>
      <c r="K1158" s="2"/>
      <c r="L1158" s="3">
        <v>25</v>
      </c>
      <c r="M1158" s="3">
        <v>2.5</v>
      </c>
      <c r="N1158" s="3">
        <v>1.49</v>
      </c>
      <c r="O1158" s="3"/>
      <c r="P1158" s="3">
        <v>-1.94</v>
      </c>
      <c r="Q1158" s="6">
        <f t="shared" si="2440"/>
        <v>19.07</v>
      </c>
      <c r="R1158" s="3"/>
      <c r="S1158" s="3">
        <v>26.4</v>
      </c>
      <c r="T1158" s="3">
        <v>2.0499999999999998</v>
      </c>
      <c r="U1158" s="3"/>
      <c r="V1158" s="3"/>
      <c r="W1158" s="3"/>
      <c r="X1158" s="2">
        <f t="shared" si="2441"/>
        <v>28.45</v>
      </c>
      <c r="Y1158" s="6">
        <f t="shared" si="2442"/>
        <v>-9.379999999999999</v>
      </c>
      <c r="Z1158" s="2"/>
      <c r="AA1158" s="2"/>
      <c r="AB1158" s="2"/>
      <c r="AC1158" s="3"/>
      <c r="AD1158" s="2"/>
      <c r="AE1158" s="2"/>
      <c r="AF1158" s="2"/>
      <c r="AG1158" s="2"/>
      <c r="AH1158" s="2" t="s">
        <v>1556</v>
      </c>
      <c r="AI1158" s="2" t="s">
        <v>1555</v>
      </c>
      <c r="AJ1158" s="2"/>
      <c r="AK1158" s="2"/>
      <c r="AL1158" s="2" t="s">
        <v>4255</v>
      </c>
      <c r="AM1158" s="2"/>
      <c r="AN1158" s="2"/>
      <c r="AO1158" s="2" t="s">
        <v>1557</v>
      </c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</row>
    <row r="1159" spans="2:58">
      <c r="C1159" s="1">
        <v>43836</v>
      </c>
      <c r="E1159" s="2" t="s">
        <v>178</v>
      </c>
      <c r="F1159" s="2"/>
      <c r="G1159" s="2"/>
      <c r="H1159" s="2"/>
      <c r="I1159" s="2"/>
      <c r="J1159" s="2"/>
      <c r="K1159" s="2"/>
      <c r="L1159" s="3"/>
      <c r="M1159" s="3"/>
      <c r="N1159" s="3"/>
      <c r="O1159" s="3"/>
      <c r="P1159" s="3"/>
      <c r="Q1159" s="3" t="s">
        <v>1548</v>
      </c>
      <c r="R1159" s="3"/>
      <c r="S1159" s="3"/>
      <c r="T1159" s="3"/>
      <c r="U1159" s="3"/>
      <c r="V1159" s="3"/>
      <c r="W1159" s="3"/>
      <c r="X1159" s="3"/>
      <c r="Y1159" s="3"/>
      <c r="Z1159" s="2"/>
      <c r="AA1159" s="2"/>
      <c r="AB1159" s="2"/>
      <c r="AC1159" s="3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</row>
    <row r="1160" spans="2:58">
      <c r="C1160" s="1">
        <v>43835</v>
      </c>
      <c r="E1160" s="2" t="s">
        <v>393</v>
      </c>
      <c r="F1160" s="2"/>
      <c r="G1160" s="2" t="s">
        <v>1549</v>
      </c>
      <c r="H1160" s="2" t="s">
        <v>1550</v>
      </c>
      <c r="I1160" s="2"/>
      <c r="J1160" s="2">
        <v>1</v>
      </c>
      <c r="K1160" s="2"/>
      <c r="L1160" s="3">
        <v>55.36</v>
      </c>
      <c r="M1160" s="3">
        <v>5.54</v>
      </c>
      <c r="N1160" s="3">
        <v>2.98</v>
      </c>
      <c r="O1160" s="3"/>
      <c r="P1160" s="3">
        <v>0</v>
      </c>
      <c r="Q1160" s="6">
        <f>+L1160-M1160-N1160+P1160</f>
        <v>46.84</v>
      </c>
      <c r="R1160" s="3"/>
      <c r="S1160" s="3"/>
      <c r="T1160" s="3"/>
      <c r="U1160" s="3"/>
      <c r="V1160" s="3"/>
      <c r="W1160" s="3"/>
      <c r="X1160" s="3"/>
      <c r="Y1160" s="3"/>
      <c r="Z1160" s="2"/>
      <c r="AA1160" s="2"/>
      <c r="AB1160" s="2"/>
      <c r="AC1160" s="3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</row>
    <row r="1161" spans="2:58">
      <c r="B1161" s="20" t="s">
        <v>1370</v>
      </c>
      <c r="C1161" s="1">
        <v>43831</v>
      </c>
      <c r="E1161" s="2" t="s">
        <v>1494</v>
      </c>
      <c r="F1161" s="2"/>
      <c r="G1161" s="2" t="s">
        <v>1541</v>
      </c>
      <c r="H1161" s="2" t="s">
        <v>3063</v>
      </c>
      <c r="I1161" s="2"/>
      <c r="J1161" s="2">
        <v>1</v>
      </c>
      <c r="K1161" s="2"/>
      <c r="L1161" s="3">
        <v>14</v>
      </c>
      <c r="M1161" s="3">
        <v>1.4</v>
      </c>
      <c r="N1161" s="3">
        <v>0.92</v>
      </c>
      <c r="O1161" s="3"/>
      <c r="P1161" s="3"/>
      <c r="Q1161" s="6">
        <f>+L1161-M1161-N1161+P1161</f>
        <v>11.68</v>
      </c>
      <c r="R1161" s="3"/>
      <c r="S1161" s="3">
        <v>7.14</v>
      </c>
      <c r="T1161" s="3"/>
      <c r="U1161" s="3"/>
      <c r="V1161" s="3"/>
      <c r="W1161" s="3"/>
      <c r="X1161" s="2">
        <f>+S1161+T1161++U1161+V1161-W1161</f>
        <v>7.14</v>
      </c>
      <c r="Y1161" s="6">
        <f>+Q1161-X1161</f>
        <v>4.54</v>
      </c>
      <c r="Z1161" s="6">
        <f>SUM(Y1137:Y1161)</f>
        <v>78.94000000000004</v>
      </c>
      <c r="AA1161" s="2">
        <v>25</v>
      </c>
      <c r="AB1161" s="2"/>
      <c r="AC1161" s="3"/>
      <c r="AD1161" s="2"/>
      <c r="AE1161" s="2"/>
      <c r="AF1161" s="2" t="s">
        <v>1545</v>
      </c>
      <c r="AG1161" s="2"/>
      <c r="AH1161" s="2" t="s">
        <v>1544</v>
      </c>
      <c r="AI1161" s="2" t="s">
        <v>1543</v>
      </c>
      <c r="AJ1161" s="2"/>
      <c r="AK1161" s="16" t="s">
        <v>1542</v>
      </c>
      <c r="AL1161" s="2"/>
      <c r="AM1161" s="2"/>
      <c r="AN1161" s="2"/>
      <c r="AO1161" s="16" t="s">
        <v>1546</v>
      </c>
      <c r="AP1161" s="2"/>
      <c r="AQ1161" s="2"/>
      <c r="AR1161" s="19" t="s">
        <v>1696</v>
      </c>
      <c r="AS1161" s="2">
        <v>42</v>
      </c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</row>
    <row r="1162" spans="2:58">
      <c r="E1162" s="2"/>
      <c r="F1162" s="2"/>
      <c r="G1162" s="5" t="s">
        <v>1067</v>
      </c>
      <c r="H1162" s="2"/>
      <c r="I1162" s="2"/>
      <c r="J1162" s="2"/>
      <c r="K1162" s="2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2"/>
      <c r="AA1162" s="2"/>
      <c r="AB1162" s="2"/>
      <c r="AC1162" s="3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</row>
    <row r="1163" spans="2:58">
      <c r="C1163" s="1">
        <v>43828</v>
      </c>
      <c r="E1163" s="2" t="s">
        <v>1532</v>
      </c>
      <c r="F1163" s="2"/>
      <c r="G1163" s="2" t="s">
        <v>1537</v>
      </c>
      <c r="H1163" s="2" t="s">
        <v>1538</v>
      </c>
      <c r="I1163" s="2"/>
      <c r="J1163" s="2">
        <v>1</v>
      </c>
      <c r="K1163" s="2"/>
      <c r="L1163" s="3">
        <v>81.5</v>
      </c>
      <c r="M1163" s="3">
        <v>8.15</v>
      </c>
      <c r="N1163" s="3">
        <v>4.0999999999999996</v>
      </c>
      <c r="O1163" s="3"/>
      <c r="P1163" s="3">
        <v>4.8899999999999997</v>
      </c>
      <c r="Q1163" s="6">
        <f>+L1163-M1163-N1163+P1163</f>
        <v>74.14</v>
      </c>
      <c r="R1163" s="3"/>
      <c r="S1163" s="3">
        <v>65.19</v>
      </c>
      <c r="T1163" s="3"/>
      <c r="U1163" s="3"/>
      <c r="V1163" s="3"/>
      <c r="W1163" s="3">
        <v>6.52</v>
      </c>
      <c r="X1163" s="2">
        <f>+S1163+T1163++U1163+V1163-W1163</f>
        <v>58.67</v>
      </c>
      <c r="Y1163" s="6">
        <f>+Q1163-X1163</f>
        <v>15.469999999999999</v>
      </c>
      <c r="Z1163" s="2"/>
      <c r="AA1163" s="2"/>
      <c r="AB1163" s="2"/>
      <c r="AC1163" s="3"/>
      <c r="AD1163" s="2"/>
      <c r="AE1163" s="2"/>
      <c r="AF1163" s="2"/>
      <c r="AG1163" s="2" t="s">
        <v>1536</v>
      </c>
      <c r="AH1163" s="2" t="s">
        <v>1535</v>
      </c>
      <c r="AI1163" s="2" t="s">
        <v>1534</v>
      </c>
      <c r="AJ1163" s="2"/>
      <c r="AK1163" s="2"/>
      <c r="AL1163" s="2" t="s">
        <v>4255</v>
      </c>
      <c r="AM1163" s="2"/>
      <c r="AN1163" s="2"/>
      <c r="AO1163" s="2" t="s">
        <v>1533</v>
      </c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</row>
    <row r="1164" spans="2:58">
      <c r="C1164" s="1">
        <v>43828</v>
      </c>
      <c r="E1164" s="2" t="s">
        <v>393</v>
      </c>
      <c r="F1164" s="2"/>
      <c r="G1164" s="5" t="s">
        <v>1539</v>
      </c>
      <c r="H1164" s="2"/>
      <c r="I1164" s="2"/>
      <c r="J1164" s="2"/>
      <c r="K1164" s="2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2" t="s">
        <v>1499</v>
      </c>
      <c r="AA1164" s="2"/>
      <c r="AB1164" s="2"/>
      <c r="AC1164" s="3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</row>
    <row r="1165" spans="2:58">
      <c r="B1165" s="20" t="s">
        <v>1530</v>
      </c>
      <c r="C1165" s="1">
        <v>43826</v>
      </c>
      <c r="E1165" s="2" t="s">
        <v>1521</v>
      </c>
      <c r="F1165" s="2"/>
      <c r="G1165" s="2" t="s">
        <v>1522</v>
      </c>
      <c r="H1165" s="2" t="s">
        <v>1916</v>
      </c>
      <c r="I1165" s="2"/>
      <c r="J1165" s="2">
        <v>1</v>
      </c>
      <c r="K1165" s="2"/>
      <c r="L1165" s="3">
        <v>17.5</v>
      </c>
      <c r="M1165" s="3">
        <v>1.75</v>
      </c>
      <c r="N1165" s="3">
        <v>1.07</v>
      </c>
      <c r="O1165" s="3"/>
      <c r="P1165" s="3"/>
      <c r="Q1165" s="6">
        <f>+L1165-M1165-N1165+P1165</f>
        <v>14.68</v>
      </c>
      <c r="R1165" s="3"/>
      <c r="S1165" s="3">
        <v>8.7899999999999991</v>
      </c>
      <c r="T1165" s="3">
        <v>3.67</v>
      </c>
      <c r="U1165" s="3"/>
      <c r="V1165" s="3"/>
      <c r="W1165" s="3"/>
      <c r="X1165" s="2">
        <f>+S1165+T1165++U1165+V1165-W1165</f>
        <v>12.459999999999999</v>
      </c>
      <c r="Y1165" s="6">
        <f>+Q1165-X1165</f>
        <v>2.2200000000000006</v>
      </c>
      <c r="Z1165" s="2"/>
      <c r="AA1165" s="2"/>
      <c r="AB1165" s="2"/>
      <c r="AC1165" s="3"/>
      <c r="AD1165" s="2"/>
      <c r="AE1165" s="2"/>
      <c r="AF1165" s="2" t="s">
        <v>1505</v>
      </c>
      <c r="AG1165" s="2"/>
      <c r="AH1165" s="2" t="s">
        <v>1524</v>
      </c>
      <c r="AI1165" s="2" t="s">
        <v>1523</v>
      </c>
      <c r="AJ1165" s="2"/>
      <c r="AK1165" s="2" t="s">
        <v>1481</v>
      </c>
      <c r="AL1165" s="2"/>
      <c r="AN1165" s="2"/>
      <c r="AO1165" s="16" t="s">
        <v>1525</v>
      </c>
      <c r="AP1165" s="2" t="s">
        <v>1629</v>
      </c>
      <c r="AQ1165" s="2"/>
      <c r="AR1165" s="19" t="s">
        <v>1628</v>
      </c>
      <c r="AS1165" s="2">
        <v>20</v>
      </c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</row>
    <row r="1166" spans="2:58">
      <c r="C1166" s="1">
        <v>43822</v>
      </c>
      <c r="E1166" s="2" t="s">
        <v>61</v>
      </c>
      <c r="F1166" s="2"/>
      <c r="G1166" s="2" t="s">
        <v>1514</v>
      </c>
      <c r="H1166" s="2" t="s">
        <v>1515</v>
      </c>
      <c r="I1166" s="2"/>
      <c r="J1166" s="2">
        <v>1</v>
      </c>
      <c r="K1166" s="2"/>
      <c r="L1166" s="3">
        <v>41.5</v>
      </c>
      <c r="M1166" s="3">
        <v>4.1500000000000004</v>
      </c>
      <c r="N1166" s="3">
        <v>2.2400000000000002</v>
      </c>
      <c r="O1166" s="3"/>
      <c r="P1166" s="3">
        <v>-2.4900000000000002</v>
      </c>
      <c r="Q1166" s="6">
        <f>+L1166-M1166-N1166+P1166</f>
        <v>32.619999999999997</v>
      </c>
      <c r="R1166" s="3"/>
      <c r="S1166" s="3">
        <v>31.19</v>
      </c>
      <c r="T1166" s="3">
        <v>1.87</v>
      </c>
      <c r="U1166" s="3"/>
      <c r="V1166" s="3"/>
      <c r="W1166" s="3"/>
      <c r="X1166" s="2">
        <f>+S1166+T1166++U1166+V1166-W1166</f>
        <v>33.06</v>
      </c>
      <c r="Y1166" s="6">
        <f>+Q1166-X1166</f>
        <v>-0.44000000000000483</v>
      </c>
      <c r="Z1166" s="2"/>
      <c r="AA1166" s="2"/>
      <c r="AB1166" s="2"/>
      <c r="AC1166" s="3"/>
      <c r="AD1166" s="2"/>
      <c r="AE1166" s="2"/>
      <c r="AF1166" s="2"/>
      <c r="AG1166" s="2" t="s">
        <v>1519</v>
      </c>
      <c r="AH1166" s="2" t="s">
        <v>1518</v>
      </c>
      <c r="AI1166" s="2" t="s">
        <v>1517</v>
      </c>
      <c r="AJ1166" s="2"/>
      <c r="AK1166" s="2"/>
      <c r="AL1166" s="2" t="s">
        <v>4255</v>
      </c>
      <c r="AM1166" s="2"/>
      <c r="AN1166" s="2"/>
      <c r="AO1166" s="16" t="s">
        <v>1516</v>
      </c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</row>
    <row r="1167" spans="2:58">
      <c r="C1167" s="1">
        <v>43820</v>
      </c>
      <c r="E1167" s="2" t="s">
        <v>61</v>
      </c>
      <c r="F1167" s="2"/>
      <c r="G1167" s="2" t="s">
        <v>1531</v>
      </c>
      <c r="H1167" s="2"/>
      <c r="I1167" s="2"/>
      <c r="J1167" s="2"/>
      <c r="K1167" s="2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2"/>
      <c r="AA1167" s="2"/>
      <c r="AB1167" s="2"/>
      <c r="AC1167" s="3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</row>
    <row r="1168" spans="2:58">
      <c r="E1168" s="2" t="s">
        <v>1499</v>
      </c>
      <c r="F1168" s="2"/>
      <c r="G1168" s="2"/>
      <c r="H1168" s="2"/>
      <c r="I1168" s="2"/>
      <c r="J1168" s="2"/>
      <c r="K1168" s="2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 t="s">
        <v>1499</v>
      </c>
      <c r="Y1168" s="3"/>
      <c r="Z1168" s="2"/>
      <c r="AA1168" s="2"/>
      <c r="AB1168" s="2"/>
      <c r="AC1168" s="3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</row>
    <row r="1169" spans="2:58">
      <c r="B1169" s="20" t="s">
        <v>1370</v>
      </c>
      <c r="C1169" s="1">
        <v>43818</v>
      </c>
      <c r="E1169" s="2" t="s">
        <v>1494</v>
      </c>
      <c r="F1169" s="2"/>
      <c r="G1169" s="2" t="s">
        <v>1495</v>
      </c>
      <c r="H1169" s="2" t="s">
        <v>1767</v>
      </c>
      <c r="I1169" s="2"/>
      <c r="J1169" s="2">
        <v>1</v>
      </c>
      <c r="K1169" s="2"/>
      <c r="L1169" s="3">
        <v>14</v>
      </c>
      <c r="M1169" s="3">
        <v>1.4</v>
      </c>
      <c r="N1169" s="3">
        <v>0.95</v>
      </c>
      <c r="O1169" s="3"/>
      <c r="P1169" s="3">
        <v>-0.78</v>
      </c>
      <c r="Q1169" s="6">
        <f>+L1169-M1169-N1169+P1169</f>
        <v>10.870000000000001</v>
      </c>
      <c r="R1169" s="3"/>
      <c r="S1169" s="3">
        <v>7.14</v>
      </c>
      <c r="T1169" s="3">
        <v>0.61</v>
      </c>
      <c r="U1169" s="3"/>
      <c r="V1169" s="3"/>
      <c r="W1169" s="3"/>
      <c r="X1169" s="2">
        <f>+S1169+T1169++U1169+V1169-W1169</f>
        <v>7.75</v>
      </c>
      <c r="Y1169" s="6">
        <f>+Q1169-X1169</f>
        <v>3.120000000000001</v>
      </c>
      <c r="Z1169" s="2"/>
      <c r="AA1169" s="2"/>
      <c r="AB1169" s="2"/>
      <c r="AC1169" s="3"/>
      <c r="AD1169" s="2"/>
      <c r="AE1169" s="2"/>
      <c r="AF1169" s="2"/>
      <c r="AG1169" s="2" t="s">
        <v>1498</v>
      </c>
      <c r="AH1169" s="2" t="s">
        <v>1497</v>
      </c>
      <c r="AI1169" s="2" t="s">
        <v>1496</v>
      </c>
      <c r="AJ1169" s="2"/>
      <c r="AK1169" s="2" t="s">
        <v>1481</v>
      </c>
      <c r="AL1169" s="2"/>
      <c r="AM1169" s="2"/>
      <c r="AN1169" s="2"/>
      <c r="AO1169" s="18" t="s">
        <v>1500</v>
      </c>
      <c r="AP1169" s="2" t="s">
        <v>1547</v>
      </c>
      <c r="AQ1169" s="2"/>
      <c r="AR1169" s="19" t="s">
        <v>1558</v>
      </c>
      <c r="AS1169" s="2">
        <v>19</v>
      </c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</row>
    <row r="1170" spans="2:58">
      <c r="B1170" s="20" t="s">
        <v>1370</v>
      </c>
      <c r="C1170" s="1">
        <v>43818</v>
      </c>
      <c r="E1170" s="2" t="s">
        <v>1502</v>
      </c>
      <c r="F1170" s="2"/>
      <c r="G1170" s="2" t="s">
        <v>1501</v>
      </c>
      <c r="H1170" s="2" t="s">
        <v>1708</v>
      </c>
      <c r="I1170" s="2"/>
      <c r="J1170" s="2">
        <v>1</v>
      </c>
      <c r="K1170" s="2"/>
      <c r="L1170" s="3">
        <v>19.5</v>
      </c>
      <c r="M1170" s="3">
        <v>1.95</v>
      </c>
      <c r="N1170" s="3">
        <v>1.1599999999999999</v>
      </c>
      <c r="O1170" s="3"/>
      <c r="P1170" s="3"/>
      <c r="Q1170" s="6">
        <f>+L1170-M1170-N1170+P1170</f>
        <v>16.39</v>
      </c>
      <c r="R1170" s="3"/>
      <c r="S1170" s="3">
        <v>10.87</v>
      </c>
      <c r="T1170" s="3">
        <v>0</v>
      </c>
      <c r="U1170" s="3">
        <v>3.25</v>
      </c>
      <c r="V1170" s="3"/>
      <c r="W1170" s="3"/>
      <c r="X1170" s="2">
        <f>+S1170+T1170++U1170+V1170-W1170</f>
        <v>14.12</v>
      </c>
      <c r="Y1170" s="6">
        <f>+Q1170-X1170</f>
        <v>2.2700000000000014</v>
      </c>
      <c r="Z1170" s="2"/>
      <c r="AA1170" s="2"/>
      <c r="AB1170" s="2"/>
      <c r="AC1170" s="3"/>
      <c r="AD1170" s="2"/>
      <c r="AE1170" s="2"/>
      <c r="AF1170" s="2" t="s">
        <v>1505</v>
      </c>
      <c r="AG1170" s="2"/>
      <c r="AH1170" s="2" t="s">
        <v>1504</v>
      </c>
      <c r="AI1170" s="2" t="s">
        <v>1503</v>
      </c>
      <c r="AJ1170" s="2"/>
      <c r="AK1170" s="2" t="s">
        <v>1481</v>
      </c>
      <c r="AL1170" s="2"/>
      <c r="AM1170" s="2"/>
      <c r="AN1170" s="2"/>
      <c r="AO1170" s="18" t="s">
        <v>1506</v>
      </c>
      <c r="AP1170" s="2" t="s">
        <v>1511</v>
      </c>
      <c r="AQ1170" s="2"/>
      <c r="AR1170" s="19" t="s">
        <v>1551</v>
      </c>
      <c r="AS1170" s="2">
        <v>15</v>
      </c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</row>
    <row r="1171" spans="2:58">
      <c r="B1171" s="15"/>
      <c r="C1171" s="1"/>
      <c r="E1171" s="2"/>
      <c r="F1171" s="2"/>
      <c r="G1171" s="2"/>
      <c r="H1171" s="2"/>
      <c r="I1171" s="2"/>
      <c r="J1171" s="2"/>
      <c r="K1171" s="2"/>
      <c r="L1171" s="3"/>
      <c r="M1171" s="3"/>
      <c r="N1171" s="3"/>
      <c r="O1171" s="3"/>
      <c r="P1171" s="3"/>
      <c r="Q1171" s="6"/>
      <c r="R1171" s="3"/>
      <c r="S1171" s="3"/>
      <c r="T1171" s="3"/>
      <c r="U1171" s="3"/>
      <c r="V1171" s="3"/>
      <c r="W1171" s="3"/>
      <c r="X1171" s="2"/>
      <c r="Y1171" s="6"/>
      <c r="Z1171" s="2"/>
      <c r="AA1171" s="2"/>
      <c r="AB1171" s="2"/>
      <c r="AC1171" s="3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18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</row>
    <row r="1172" spans="2:58">
      <c r="C1172" s="1">
        <v>43817</v>
      </c>
      <c r="E1172" s="2" t="s">
        <v>1453</v>
      </c>
      <c r="F1172" s="2"/>
      <c r="G1172" s="2" t="s">
        <v>1489</v>
      </c>
      <c r="H1172" s="2" t="s">
        <v>1490</v>
      </c>
      <c r="I1172" s="2"/>
      <c r="J1172" s="2">
        <v>1</v>
      </c>
      <c r="K1172" s="2"/>
      <c r="L1172" s="3">
        <v>17.170000000000002</v>
      </c>
      <c r="M1172" s="3">
        <v>1.71</v>
      </c>
      <c r="N1172" s="3">
        <v>1.1000000000000001</v>
      </c>
      <c r="O1172" s="3"/>
      <c r="P1172" s="3">
        <v>-1.1200000000000001</v>
      </c>
      <c r="Q1172" s="6">
        <f>+L1172-M1172-N1172+P1172</f>
        <v>13.240000000000002</v>
      </c>
      <c r="R1172" s="3"/>
      <c r="S1172" s="3">
        <v>12.33</v>
      </c>
      <c r="T1172" s="3">
        <v>0.8</v>
      </c>
      <c r="U1172" s="3"/>
      <c r="V1172" s="3"/>
      <c r="W1172" s="3"/>
      <c r="X1172" s="2">
        <f>+S1172+T1172++U1172+V1172-W1172</f>
        <v>13.13</v>
      </c>
      <c r="Y1172" s="6">
        <f>+Q1172-X1172</f>
        <v>0.11000000000000121</v>
      </c>
      <c r="Z1172" s="2"/>
      <c r="AA1172" s="2"/>
      <c r="AB1172" s="2"/>
      <c r="AC1172" s="3"/>
      <c r="AD1172" s="2"/>
      <c r="AE1172" s="2"/>
      <c r="AF1172" s="2"/>
      <c r="AG1172" s="2" t="s">
        <v>1493</v>
      </c>
      <c r="AH1172" s="2" t="s">
        <v>1492</v>
      </c>
      <c r="AI1172" s="2" t="s">
        <v>1491</v>
      </c>
      <c r="AJ1172" s="2"/>
      <c r="AK1172" s="2"/>
      <c r="AL1172" s="2" t="s">
        <v>4255</v>
      </c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</row>
    <row r="1173" spans="2:58">
      <c r="C1173" s="1">
        <v>43816</v>
      </c>
      <c r="E1173" s="2" t="s">
        <v>1484</v>
      </c>
      <c r="F1173" s="2"/>
      <c r="G1173" s="2" t="s">
        <v>1482</v>
      </c>
      <c r="H1173" s="2" t="s">
        <v>1483</v>
      </c>
      <c r="I1173" s="2"/>
      <c r="J1173" s="2">
        <v>1</v>
      </c>
      <c r="K1173" s="2"/>
      <c r="L1173" s="3">
        <v>19.5</v>
      </c>
      <c r="M1173" s="3">
        <v>1.95</v>
      </c>
      <c r="N1173" s="3">
        <v>1.22</v>
      </c>
      <c r="O1173" s="3"/>
      <c r="P1173" s="3">
        <v>-1.37</v>
      </c>
      <c r="Q1173" s="6">
        <f>+L1173-M1173-N1173+P1173</f>
        <v>14.96</v>
      </c>
      <c r="R1173" s="3"/>
      <c r="S1173" s="3">
        <v>31</v>
      </c>
      <c r="T1173" s="3">
        <v>2.17</v>
      </c>
      <c r="U1173" s="3"/>
      <c r="V1173" s="3"/>
      <c r="W1173" s="3"/>
      <c r="X1173" s="2">
        <f>+S1173+T1173++U1173+V1173-W1173</f>
        <v>33.17</v>
      </c>
      <c r="Y1173" s="6">
        <f>+Q1173-X1173</f>
        <v>-18.21</v>
      </c>
      <c r="Z1173" s="2"/>
      <c r="AA1173" s="2"/>
      <c r="AB1173" s="2"/>
      <c r="AC1173" s="3"/>
      <c r="AD1173" s="2"/>
      <c r="AE1173" s="2"/>
      <c r="AF1173" s="2"/>
      <c r="AG1173" s="2" t="s">
        <v>1488</v>
      </c>
      <c r="AH1173" s="2" t="s">
        <v>1487</v>
      </c>
      <c r="AI1173" s="2" t="s">
        <v>1486</v>
      </c>
      <c r="AJ1173" s="2"/>
      <c r="AK1173" s="2"/>
      <c r="AL1173" s="2" t="s">
        <v>4255</v>
      </c>
      <c r="AM1173" s="2"/>
      <c r="AN1173" s="2"/>
      <c r="AO1173" s="2" t="s">
        <v>1485</v>
      </c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</row>
    <row r="1174" spans="2:58">
      <c r="B1174" s="20" t="s">
        <v>1370</v>
      </c>
      <c r="C1174" s="1">
        <v>43815</v>
      </c>
      <c r="E1174" s="2" t="s">
        <v>1341</v>
      </c>
      <c r="F1174" s="2"/>
      <c r="G1174" s="2" t="s">
        <v>1476</v>
      </c>
      <c r="H1174" s="2" t="s">
        <v>1598</v>
      </c>
      <c r="I1174" s="2"/>
      <c r="J1174" s="2">
        <v>1</v>
      </c>
      <c r="K1174" s="2"/>
      <c r="L1174" s="3">
        <v>16.600000000000001</v>
      </c>
      <c r="M1174" s="3">
        <v>1.66</v>
      </c>
      <c r="N1174" s="3">
        <v>1.03</v>
      </c>
      <c r="O1174" s="3"/>
      <c r="P1174" s="3">
        <v>0</v>
      </c>
      <c r="Q1174" s="6">
        <f>+L1174-M1174-N1174+P1174</f>
        <v>13.910000000000002</v>
      </c>
      <c r="R1174" s="3"/>
      <c r="S1174" s="3">
        <v>4.41</v>
      </c>
      <c r="T1174" s="3"/>
      <c r="U1174" s="3">
        <v>4.1100000000000003</v>
      </c>
      <c r="V1174" s="3"/>
      <c r="W1174" s="3"/>
      <c r="X1174" s="2">
        <f>+S1174+T1174++U1174+V1174-W1174</f>
        <v>8.52</v>
      </c>
      <c r="Y1174" s="6">
        <f>+Q1174-X1174</f>
        <v>5.3900000000000023</v>
      </c>
      <c r="Z1174" s="2"/>
      <c r="AA1174" s="2"/>
      <c r="AB1174" s="2"/>
      <c r="AC1174" s="3"/>
      <c r="AD1174" s="2"/>
      <c r="AE1174" s="2"/>
      <c r="AF1174" s="2" t="s">
        <v>1475</v>
      </c>
      <c r="AG1174" s="2"/>
      <c r="AH1174" s="2" t="s">
        <v>1478</v>
      </c>
      <c r="AI1174" s="2" t="s">
        <v>1477</v>
      </c>
      <c r="AJ1174" s="2"/>
      <c r="AK1174" s="2" t="s">
        <v>1481</v>
      </c>
      <c r="AL1174" s="2"/>
      <c r="AM1174" s="2" t="s">
        <v>1499</v>
      </c>
      <c r="AN1174" s="2"/>
      <c r="AO1174" s="16" t="s">
        <v>1480</v>
      </c>
      <c r="AP1174" s="2" t="s">
        <v>1479</v>
      </c>
      <c r="AQ1174" s="2"/>
      <c r="AR1174" s="19" t="s">
        <v>1520</v>
      </c>
      <c r="AS1174" s="2">
        <v>10</v>
      </c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</row>
    <row r="1175" spans="2:58">
      <c r="E1175" s="2"/>
      <c r="F1175" s="2"/>
      <c r="G1175" s="2"/>
      <c r="H1175" s="2"/>
      <c r="I1175" s="2"/>
      <c r="J1175" s="2"/>
      <c r="K1175" s="2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2"/>
      <c r="AA1175" s="2" t="s">
        <v>1369</v>
      </c>
      <c r="AB1175" s="2"/>
      <c r="AC1175" s="3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</row>
    <row r="1176" spans="2:58">
      <c r="C1176" s="1">
        <v>43813</v>
      </c>
      <c r="E1176" s="2" t="s">
        <v>1461</v>
      </c>
      <c r="F1176" s="2"/>
      <c r="G1176" s="2" t="s">
        <v>1462</v>
      </c>
      <c r="H1176" s="2" t="s">
        <v>1463</v>
      </c>
      <c r="I1176" s="2"/>
      <c r="J1176" s="2">
        <v>1</v>
      </c>
      <c r="K1176" s="2"/>
      <c r="L1176" s="3">
        <v>33.85</v>
      </c>
      <c r="M1176" s="3">
        <v>3.38</v>
      </c>
      <c r="N1176" s="3">
        <v>1.92</v>
      </c>
      <c r="O1176" s="3"/>
      <c r="P1176" s="3">
        <v>3.05</v>
      </c>
      <c r="Q1176" s="6">
        <f>+L1176-M1176-N1176+P1176</f>
        <v>31.600000000000005</v>
      </c>
      <c r="R1176" s="3"/>
      <c r="S1176" s="3">
        <v>23.99</v>
      </c>
      <c r="T1176" s="3">
        <v>1.52</v>
      </c>
      <c r="U1176" s="3"/>
      <c r="V1176" s="3"/>
      <c r="W1176" s="3"/>
      <c r="X1176" s="2">
        <f>+S1176+T1176++U1176+V1176-W1176</f>
        <v>25.509999999999998</v>
      </c>
      <c r="Y1176" s="6">
        <f>+Q1176-X1176</f>
        <v>6.090000000000007</v>
      </c>
      <c r="Z1176" s="2"/>
      <c r="AA1176" s="2"/>
      <c r="AB1176" s="2"/>
      <c r="AC1176" s="3"/>
      <c r="AD1176" s="2"/>
      <c r="AE1176" s="2"/>
      <c r="AF1176" s="2"/>
      <c r="AG1176" s="2" t="s">
        <v>1466</v>
      </c>
      <c r="AH1176" s="2" t="s">
        <v>1465</v>
      </c>
      <c r="AI1176" s="2" t="s">
        <v>1464</v>
      </c>
      <c r="AJ1176" s="2"/>
      <c r="AK1176" s="2"/>
      <c r="AL1176" s="2" t="s">
        <v>4255</v>
      </c>
      <c r="AM1176" s="2"/>
      <c r="AN1176" s="2"/>
      <c r="AO1176" s="2" t="s">
        <v>1467</v>
      </c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</row>
    <row r="1177" spans="2:58">
      <c r="C1177" s="1"/>
      <c r="E1177" s="2" t="s">
        <v>1369</v>
      </c>
      <c r="F1177" s="2"/>
      <c r="G1177" s="2"/>
      <c r="H1177" s="2"/>
      <c r="I1177" s="2"/>
      <c r="J1177" s="2"/>
      <c r="K1177" s="2"/>
      <c r="L1177" s="3"/>
      <c r="M1177" s="3"/>
      <c r="N1177" s="3"/>
      <c r="O1177" s="3"/>
      <c r="P1177" s="3"/>
      <c r="Q1177" s="6"/>
      <c r="R1177" s="3"/>
      <c r="S1177" s="3"/>
      <c r="T1177" s="3"/>
      <c r="U1177" s="3"/>
      <c r="V1177" s="3"/>
      <c r="W1177" s="3"/>
      <c r="X1177" s="2"/>
      <c r="Y1177" s="6"/>
      <c r="Z1177" s="2"/>
      <c r="AA1177" s="2"/>
      <c r="AB1177" s="2"/>
      <c r="AC1177" s="3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</row>
    <row r="1178" spans="2:58">
      <c r="C1178" s="1">
        <v>43812</v>
      </c>
      <c r="E1178" s="2" t="s">
        <v>1468</v>
      </c>
      <c r="F1178" s="2"/>
      <c r="G1178" s="2" t="s">
        <v>1469</v>
      </c>
      <c r="H1178" s="2" t="s">
        <v>1470</v>
      </c>
      <c r="I1178" s="2"/>
      <c r="J1178" s="2">
        <v>1</v>
      </c>
      <c r="K1178" s="2"/>
      <c r="L1178" s="3">
        <v>17</v>
      </c>
      <c r="M1178" s="3">
        <v>1.7</v>
      </c>
      <c r="N1178" s="3">
        <v>1.1000000000000001</v>
      </c>
      <c r="O1178" s="3"/>
      <c r="P1178" s="3">
        <v>1.19</v>
      </c>
      <c r="Q1178" s="6">
        <f>+L1178-M1178-N1178+P1178</f>
        <v>15.39</v>
      </c>
      <c r="R1178" s="3"/>
      <c r="S1178" s="3">
        <v>16.989999999999998</v>
      </c>
      <c r="T1178" s="3">
        <v>1.36</v>
      </c>
      <c r="U1178" s="3"/>
      <c r="V1178" s="3"/>
      <c r="W1178" s="3"/>
      <c r="X1178" s="2">
        <f>+S1178+T1178++U1178+V1178-W1178</f>
        <v>18.349999999999998</v>
      </c>
      <c r="Y1178" s="6">
        <f>+Q1178-X1178</f>
        <v>-2.9599999999999973</v>
      </c>
      <c r="Z1178" s="2"/>
      <c r="AA1178" s="2"/>
      <c r="AB1178" s="2"/>
      <c r="AC1178" s="3"/>
      <c r="AD1178" s="2"/>
      <c r="AE1178" s="2"/>
      <c r="AF1178" s="2"/>
      <c r="AG1178" s="2" t="s">
        <v>1473</v>
      </c>
      <c r="AH1178" s="2" t="s">
        <v>1472</v>
      </c>
      <c r="AI1178" s="2" t="s">
        <v>1471</v>
      </c>
      <c r="AJ1178" s="2"/>
      <c r="AK1178" s="2"/>
      <c r="AL1178" s="2" t="s">
        <v>4255</v>
      </c>
      <c r="AM1178" s="2"/>
      <c r="AN1178" s="2"/>
      <c r="AO1178" s="10" t="s">
        <v>1474</v>
      </c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</row>
    <row r="1179" spans="2:58">
      <c r="C1179" s="1">
        <v>43812</v>
      </c>
      <c r="E1179" s="2" t="s">
        <v>1428</v>
      </c>
      <c r="F1179" s="2"/>
      <c r="G1179" s="2" t="s">
        <v>1456</v>
      </c>
      <c r="H1179" s="2" t="s">
        <v>1457</v>
      </c>
      <c r="I1179" s="2"/>
      <c r="J1179" s="2">
        <v>1</v>
      </c>
      <c r="K1179" s="2"/>
      <c r="L1179" s="3">
        <v>22.5</v>
      </c>
      <c r="M1179" s="3">
        <v>2.25</v>
      </c>
      <c r="N1179" s="3">
        <v>1.36</v>
      </c>
      <c r="O1179" s="3" t="s">
        <v>1369</v>
      </c>
      <c r="P1179" s="3">
        <v>1.58</v>
      </c>
      <c r="Q1179" s="6">
        <f>+L1179-M1179-N1179+P1179</f>
        <v>20.47</v>
      </c>
      <c r="R1179" s="3"/>
      <c r="S1179" s="3">
        <v>14.99</v>
      </c>
      <c r="T1179" s="3">
        <v>0.95</v>
      </c>
      <c r="U1179" s="3"/>
      <c r="V1179" s="3"/>
      <c r="W1179" s="3"/>
      <c r="X1179" s="2">
        <f>+S1179+T1179++U1179+V1179-W1179</f>
        <v>15.94</v>
      </c>
      <c r="Y1179" s="6">
        <f>+Q1179-X1179</f>
        <v>4.5299999999999994</v>
      </c>
      <c r="Z1179" s="2"/>
      <c r="AA1179" s="2"/>
      <c r="AB1179" s="2"/>
      <c r="AC1179" s="3"/>
      <c r="AD1179" s="2"/>
      <c r="AE1179" s="2"/>
      <c r="AF1179" s="2"/>
      <c r="AG1179" s="2" t="s">
        <v>1460</v>
      </c>
      <c r="AH1179" s="2" t="s">
        <v>1459</v>
      </c>
      <c r="AI1179" s="2" t="s">
        <v>1458</v>
      </c>
      <c r="AJ1179" s="2"/>
      <c r="AK1179" s="2"/>
      <c r="AL1179" s="16" t="s">
        <v>4256</v>
      </c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</row>
    <row r="1180" spans="2:58">
      <c r="E1180" s="2"/>
      <c r="F1180" s="2"/>
      <c r="G1180" s="2"/>
      <c r="H1180" s="2"/>
      <c r="I1180" s="2"/>
      <c r="J1180" s="2"/>
      <c r="K1180" s="2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2"/>
      <c r="AA1180" s="2"/>
      <c r="AB1180" s="2"/>
      <c r="AC1180" s="3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</row>
    <row r="1181" spans="2:58">
      <c r="C1181" s="1">
        <v>43811</v>
      </c>
      <c r="E1181" s="2" t="s">
        <v>1453</v>
      </c>
      <c r="F1181" s="2"/>
      <c r="G1181" s="2" t="s">
        <v>1454</v>
      </c>
      <c r="H1181" s="2" t="s">
        <v>1455</v>
      </c>
      <c r="I1181" s="2"/>
      <c r="J1181" s="2">
        <v>1</v>
      </c>
      <c r="K1181" s="2"/>
      <c r="L1181" s="3">
        <v>17.170000000000002</v>
      </c>
      <c r="M1181" s="3">
        <v>1.71</v>
      </c>
      <c r="N1181" s="3">
        <v>1.1200000000000001</v>
      </c>
      <c r="O1181" s="3"/>
      <c r="P1181" s="3">
        <v>-1.36</v>
      </c>
      <c r="Q1181" s="6">
        <f>+L1181-M1181-N1181+P1181</f>
        <v>12.98</v>
      </c>
      <c r="R1181" s="3"/>
      <c r="S1181" s="3">
        <v>12.33</v>
      </c>
      <c r="T1181" s="3">
        <v>0.97</v>
      </c>
      <c r="U1181" s="3"/>
      <c r="V1181" s="3"/>
      <c r="W1181" s="3"/>
      <c r="X1181" s="2">
        <f>+S1181+T1181++U1181+V1181-W1181</f>
        <v>13.3</v>
      </c>
      <c r="Y1181" s="6">
        <f>+Q1181-X1181</f>
        <v>-0.32000000000000028</v>
      </c>
      <c r="Z1181" s="2"/>
      <c r="AA1181" s="2"/>
      <c r="AB1181" s="2"/>
      <c r="AC1181" s="3"/>
      <c r="AD1181" s="2"/>
      <c r="AE1181" s="2"/>
      <c r="AF1181" s="2"/>
      <c r="AG1181" s="2" t="s">
        <v>1352</v>
      </c>
      <c r="AH1181" s="2" t="s">
        <v>1451</v>
      </c>
      <c r="AI1181" s="2" t="s">
        <v>1450</v>
      </c>
      <c r="AJ1181" s="2"/>
      <c r="AK1181" s="2"/>
      <c r="AL1181" s="2" t="s">
        <v>4255</v>
      </c>
      <c r="AM1181" s="2"/>
      <c r="AN1181" s="2"/>
      <c r="AO1181" s="2" t="s">
        <v>1452</v>
      </c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</row>
    <row r="1182" spans="2:58">
      <c r="C1182" s="1">
        <v>43811</v>
      </c>
      <c r="E1182" s="2" t="s">
        <v>1068</v>
      </c>
      <c r="F1182" s="2"/>
      <c r="G1182" s="2" t="s">
        <v>1446</v>
      </c>
      <c r="H1182" s="2" t="s">
        <v>1447</v>
      </c>
      <c r="I1182" s="2"/>
      <c r="J1182" s="2">
        <v>1</v>
      </c>
      <c r="K1182" s="2"/>
      <c r="L1182" s="3">
        <v>23.2</v>
      </c>
      <c r="M1182" s="3">
        <v>2.3199999999999998</v>
      </c>
      <c r="N1182" s="3">
        <v>1.41</v>
      </c>
      <c r="O1182" s="3"/>
      <c r="P1182" s="3">
        <v>2</v>
      </c>
      <c r="Q1182" s="6">
        <f>+L1182-M1182-N1182+P1182</f>
        <v>21.47</v>
      </c>
      <c r="R1182" s="3"/>
      <c r="S1182" s="3">
        <v>15.5</v>
      </c>
      <c r="T1182" s="3">
        <v>1.33</v>
      </c>
      <c r="U1182" s="3"/>
      <c r="V1182" s="3"/>
      <c r="W1182" s="3"/>
      <c r="X1182" s="2">
        <f>+S1182+T1182++U1182+V1182-W1182</f>
        <v>16.829999999999998</v>
      </c>
      <c r="Y1182" s="6">
        <f>+Q1182-X1182</f>
        <v>4.6400000000000006</v>
      </c>
      <c r="Z1182" s="2"/>
      <c r="AA1182" s="2"/>
      <c r="AB1182" s="2"/>
      <c r="AC1182" s="3"/>
      <c r="AD1182" s="2"/>
      <c r="AE1182" s="2"/>
      <c r="AF1182" s="2"/>
      <c r="AG1182" s="2" t="s">
        <v>1366</v>
      </c>
      <c r="AH1182" s="2" t="s">
        <v>1449</v>
      </c>
      <c r="AI1182" s="2" t="s">
        <v>1448</v>
      </c>
      <c r="AJ1182" s="2"/>
      <c r="AK1182" s="2"/>
      <c r="AL1182" s="2" t="s">
        <v>4255</v>
      </c>
      <c r="AM1182" s="2"/>
      <c r="AN1182" s="2"/>
      <c r="AO1182" s="2" t="s">
        <v>1445</v>
      </c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</row>
    <row r="1183" spans="2:58">
      <c r="C1183" s="1">
        <v>43811</v>
      </c>
      <c r="E1183" s="2" t="s">
        <v>1435</v>
      </c>
      <c r="F1183" s="2"/>
      <c r="G1183" s="2" t="s">
        <v>1436</v>
      </c>
      <c r="H1183" s="2" t="s">
        <v>1437</v>
      </c>
      <c r="I1183" s="2"/>
      <c r="J1183" s="2">
        <v>1</v>
      </c>
      <c r="K1183" s="2"/>
      <c r="L1183" s="3">
        <v>35</v>
      </c>
      <c r="M1183" s="3">
        <v>3.5</v>
      </c>
      <c r="N1183" s="3">
        <v>1.92</v>
      </c>
      <c r="O1183" s="3"/>
      <c r="P1183" s="3">
        <v>-1.89</v>
      </c>
      <c r="Q1183" s="6">
        <f>+L1183-M1183-N1183+P1183</f>
        <v>27.689999999999998</v>
      </c>
      <c r="R1183" s="3"/>
      <c r="S1183" s="3">
        <v>25.49</v>
      </c>
      <c r="T1183" s="3">
        <v>1.38</v>
      </c>
      <c r="U1183" s="3"/>
      <c r="V1183" s="3"/>
      <c r="W1183" s="3"/>
      <c r="X1183" s="2">
        <f>+S1183+T1183++U1183+V1183-W1183</f>
        <v>26.869999999999997</v>
      </c>
      <c r="Y1183" s="6">
        <f>+Q1183-X1183</f>
        <v>0.82000000000000028</v>
      </c>
      <c r="Z1183" s="2"/>
      <c r="AA1183" s="2"/>
      <c r="AB1183" s="2"/>
      <c r="AC1183" s="3"/>
      <c r="AD1183" s="2"/>
      <c r="AE1183" s="2"/>
      <c r="AF1183" s="2"/>
      <c r="AG1183" s="2" t="s">
        <v>1440</v>
      </c>
      <c r="AH1183" s="2" t="s">
        <v>1439</v>
      </c>
      <c r="AI1183" s="2" t="s">
        <v>1438</v>
      </c>
      <c r="AJ1183" s="2"/>
      <c r="AK1183" s="2"/>
      <c r="AL1183" s="17" t="s">
        <v>4257</v>
      </c>
      <c r="AM1183" s="2"/>
      <c r="AN1183" s="2"/>
      <c r="AO1183" s="2" t="s">
        <v>1441</v>
      </c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</row>
    <row r="1184" spans="2:58">
      <c r="C1184" s="1">
        <v>43811</v>
      </c>
      <c r="E1184" s="2" t="s">
        <v>1428</v>
      </c>
      <c r="F1184" s="2"/>
      <c r="G1184" s="2" t="s">
        <v>1429</v>
      </c>
      <c r="H1184" s="2" t="s">
        <v>1430</v>
      </c>
      <c r="I1184" s="2"/>
      <c r="J1184" s="2">
        <v>1</v>
      </c>
      <c r="K1184" s="2"/>
      <c r="L1184" s="3">
        <v>22.5</v>
      </c>
      <c r="M1184" s="3">
        <v>2.25</v>
      </c>
      <c r="N1184" s="3">
        <v>1.36</v>
      </c>
      <c r="O1184" s="3"/>
      <c r="P1184" s="3">
        <v>-1.52</v>
      </c>
      <c r="Q1184" s="6">
        <f>+L1184-M1184-N1184+P1184</f>
        <v>17.37</v>
      </c>
      <c r="R1184" s="3"/>
      <c r="S1184" s="3">
        <v>14.99</v>
      </c>
      <c r="T1184" s="3">
        <v>1.01</v>
      </c>
      <c r="U1184" s="3"/>
      <c r="V1184" s="3"/>
      <c r="W1184" s="3"/>
      <c r="X1184" s="2">
        <f>+S1184+T1184++U1184+V1184-W1184</f>
        <v>16</v>
      </c>
      <c r="Y1184" s="6">
        <f>+Q1184-X1184</f>
        <v>1.370000000000001</v>
      </c>
      <c r="Z1184" s="2"/>
      <c r="AA1184" s="2"/>
      <c r="AB1184" s="2"/>
      <c r="AC1184" s="3"/>
      <c r="AD1184" s="2"/>
      <c r="AE1184" s="2"/>
      <c r="AF1184" s="2"/>
      <c r="AG1184" s="2" t="s">
        <v>11</v>
      </c>
      <c r="AH1184" s="2" t="s">
        <v>1434</v>
      </c>
      <c r="AI1184" s="2" t="s">
        <v>1433</v>
      </c>
      <c r="AJ1184" s="2"/>
      <c r="AK1184" s="2"/>
      <c r="AL1184" s="2" t="s">
        <v>4258</v>
      </c>
      <c r="AM1184" s="2"/>
      <c r="AN1184" s="2"/>
      <c r="AO1184" s="2" t="s">
        <v>1431</v>
      </c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</row>
    <row r="1185" spans="2:58">
      <c r="E1185" s="2"/>
      <c r="F1185" s="2"/>
      <c r="G1185" s="2"/>
      <c r="H1185" s="2"/>
      <c r="I1185" s="2"/>
      <c r="J1185" s="2"/>
      <c r="K1185" s="2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2"/>
      <c r="AA1185" s="2"/>
      <c r="AB1185" s="2"/>
      <c r="AC1185" s="3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</row>
    <row r="1186" spans="2:58">
      <c r="B1186" s="20" t="s">
        <v>1530</v>
      </c>
      <c r="C1186" s="1">
        <v>43810</v>
      </c>
      <c r="E1186" s="2" t="s">
        <v>1382</v>
      </c>
      <c r="F1186" s="2"/>
      <c r="G1186" s="2" t="s">
        <v>1425</v>
      </c>
      <c r="H1186" s="2" t="s">
        <v>1667</v>
      </c>
      <c r="I1186" s="2"/>
      <c r="J1186" s="2">
        <v>1</v>
      </c>
      <c r="K1186" s="2"/>
      <c r="L1186" s="3">
        <v>21.5</v>
      </c>
      <c r="M1186" s="3">
        <v>2.15</v>
      </c>
      <c r="N1186" s="3">
        <v>1.25</v>
      </c>
      <c r="O1186" s="3"/>
      <c r="P1186" s="3"/>
      <c r="Q1186" s="6">
        <f>+L1186-M1186-N1186+P1186</f>
        <v>18.100000000000001</v>
      </c>
      <c r="R1186" s="3"/>
      <c r="S1186" s="3">
        <f>9.48+1.88</f>
        <v>11.36</v>
      </c>
      <c r="T1186" s="3"/>
      <c r="U1186" s="3">
        <v>0.84</v>
      </c>
      <c r="V1186" s="3"/>
      <c r="W1186" s="3"/>
      <c r="X1186" s="2">
        <f>+S1186+T1186++U1186+V1186-W1186</f>
        <v>12.2</v>
      </c>
      <c r="Y1186" s="6">
        <f>+Q1186-X1186</f>
        <v>5.9000000000000021</v>
      </c>
      <c r="Z1186" s="2"/>
      <c r="AA1186" s="2"/>
      <c r="AB1186" s="2"/>
      <c r="AC1186" s="3"/>
      <c r="AD1186" s="2"/>
      <c r="AE1186" s="2"/>
      <c r="AF1186" s="2" t="s">
        <v>1388</v>
      </c>
      <c r="AG1186" s="2"/>
      <c r="AH1186" s="2" t="s">
        <v>1427</v>
      </c>
      <c r="AI1186" s="2" t="s">
        <v>1426</v>
      </c>
      <c r="AJ1186" s="2"/>
      <c r="AK1186" s="2"/>
      <c r="AL1186" s="2"/>
      <c r="AM1186" s="2"/>
      <c r="AN1186" s="2"/>
      <c r="AO1186" s="16" t="s">
        <v>1432</v>
      </c>
      <c r="AP1186" s="2" t="s">
        <v>1527</v>
      </c>
      <c r="AQ1186" s="2"/>
      <c r="AR1186" s="19" t="s">
        <v>1528</v>
      </c>
      <c r="AS1186" s="2">
        <v>13</v>
      </c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</row>
    <row r="1187" spans="2:58">
      <c r="E1187" s="2"/>
      <c r="F1187" s="2"/>
      <c r="G1187" s="2"/>
      <c r="H1187" s="2"/>
      <c r="I1187" s="2"/>
      <c r="J1187" s="2"/>
      <c r="K1187" s="2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 t="s">
        <v>1369</v>
      </c>
      <c r="Y1187" s="3"/>
      <c r="Z1187" s="2"/>
      <c r="AA1187" s="2"/>
      <c r="AB1187" s="2"/>
      <c r="AC1187" s="3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</row>
    <row r="1188" spans="2:58">
      <c r="C1188" s="1">
        <v>43808</v>
      </c>
      <c r="E1188" s="2" t="s">
        <v>61</v>
      </c>
      <c r="F1188" s="2"/>
      <c r="G1188" s="2" t="s">
        <v>1419</v>
      </c>
      <c r="H1188" s="2" t="s">
        <v>1420</v>
      </c>
      <c r="I1188" s="2"/>
      <c r="J1188" s="2">
        <v>1</v>
      </c>
      <c r="K1188" s="2"/>
      <c r="L1188" s="3">
        <v>39.799999999999997</v>
      </c>
      <c r="M1188" s="3">
        <v>3.98</v>
      </c>
      <c r="N1188" s="3">
        <v>2.16</v>
      </c>
      <c r="O1188" s="3"/>
      <c r="P1188" s="3">
        <v>-2.5299999999999998</v>
      </c>
      <c r="Q1188" s="6">
        <f>+L1188-M1188-N1188+P1188</f>
        <v>31.129999999999995</v>
      </c>
      <c r="R1188" s="3"/>
      <c r="S1188" s="3">
        <v>31.19</v>
      </c>
      <c r="T1188" s="3">
        <v>1.98</v>
      </c>
      <c r="U1188" s="3"/>
      <c r="V1188" s="3"/>
      <c r="W1188" s="3"/>
      <c r="X1188" s="2">
        <f>+S1188+T1188++U1188+V1188-W1188</f>
        <v>33.17</v>
      </c>
      <c r="Y1188" s="6">
        <f>+Q1188-X1188</f>
        <v>-2.0400000000000063</v>
      </c>
      <c r="Z1188" s="2"/>
      <c r="AA1188" s="2"/>
      <c r="AB1188" s="2"/>
      <c r="AC1188" s="3"/>
      <c r="AD1188" s="2"/>
      <c r="AE1188" s="2"/>
      <c r="AF1188" s="2"/>
      <c r="AG1188" s="2" t="s">
        <v>1424</v>
      </c>
      <c r="AH1188" s="2" t="s">
        <v>1423</v>
      </c>
      <c r="AI1188" s="2" t="s">
        <v>1422</v>
      </c>
      <c r="AJ1188" s="2"/>
      <c r="AK1188" s="2"/>
      <c r="AL1188" s="17" t="s">
        <v>4259</v>
      </c>
      <c r="AM1188" s="2"/>
      <c r="AN1188" s="2"/>
      <c r="AO1188" s="14" t="s">
        <v>1421</v>
      </c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</row>
    <row r="1189" spans="2:58">
      <c r="C1189" s="1">
        <v>43808</v>
      </c>
      <c r="E1189" s="2" t="s">
        <v>1356</v>
      </c>
      <c r="F1189" s="2"/>
      <c r="G1189" s="2" t="s">
        <v>1413</v>
      </c>
      <c r="H1189" s="2" t="s">
        <v>1414</v>
      </c>
      <c r="I1189" s="2"/>
      <c r="J1189" s="2">
        <v>1</v>
      </c>
      <c r="K1189" s="2"/>
      <c r="L1189" s="3">
        <v>34.15</v>
      </c>
      <c r="M1189" s="3">
        <v>3.41</v>
      </c>
      <c r="N1189" s="3">
        <v>1.93</v>
      </c>
      <c r="O1189" s="3"/>
      <c r="P1189" s="3">
        <v>-2.87</v>
      </c>
      <c r="Q1189" s="6">
        <f>+L1189-M1189-N1189+P1189</f>
        <v>25.939999999999998</v>
      </c>
      <c r="R1189" s="3"/>
      <c r="S1189" s="3">
        <f>28.62-1</f>
        <v>27.62</v>
      </c>
      <c r="T1189" s="3">
        <v>2.3199999999999998</v>
      </c>
      <c r="U1189" s="3"/>
      <c r="V1189" s="3"/>
      <c r="W1189" s="3"/>
      <c r="X1189" s="2">
        <f>+S1189+T1189++U1189+V1189-W1189</f>
        <v>29.94</v>
      </c>
      <c r="Y1189" s="6">
        <f>+Q1189-X1189</f>
        <v>-4.0000000000000036</v>
      </c>
      <c r="Z1189" s="2"/>
      <c r="AA1189" s="2"/>
      <c r="AB1189" s="2"/>
      <c r="AC1189" s="3"/>
      <c r="AD1189" s="2"/>
      <c r="AE1189" s="2"/>
      <c r="AF1189" s="2"/>
      <c r="AG1189" s="2" t="s">
        <v>1417</v>
      </c>
      <c r="AH1189" s="2" t="s">
        <v>1416</v>
      </c>
      <c r="AI1189" s="2" t="s">
        <v>1415</v>
      </c>
      <c r="AJ1189" s="2"/>
      <c r="AK1189" s="2"/>
      <c r="AL1189" s="2" t="s">
        <v>4260</v>
      </c>
      <c r="AM1189" s="2"/>
      <c r="AN1189" s="2"/>
      <c r="AO1189" s="2" t="s">
        <v>1412</v>
      </c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</row>
    <row r="1190" spans="2:58">
      <c r="E1190" s="2"/>
      <c r="F1190" s="2"/>
      <c r="G1190" s="2"/>
      <c r="H1190" s="2"/>
      <c r="I1190" s="2"/>
      <c r="J1190" s="2"/>
      <c r="K1190" s="2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 t="s">
        <v>1369</v>
      </c>
      <c r="Z1190" s="2"/>
      <c r="AA1190" s="2"/>
      <c r="AB1190" s="2"/>
      <c r="AC1190" s="3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</row>
    <row r="1191" spans="2:58">
      <c r="C1191" s="1">
        <v>43807</v>
      </c>
      <c r="E1191" s="2" t="s">
        <v>61</v>
      </c>
      <c r="F1191" s="2"/>
      <c r="G1191" s="2" t="s">
        <v>1406</v>
      </c>
      <c r="H1191" s="2" t="s">
        <v>1407</v>
      </c>
      <c r="I1191" s="2"/>
      <c r="J1191" s="2">
        <v>1</v>
      </c>
      <c r="K1191" s="2"/>
      <c r="L1191" s="3">
        <v>39.799999999999997</v>
      </c>
      <c r="M1191" s="3">
        <v>3.98</v>
      </c>
      <c r="N1191" s="3">
        <v>2.16</v>
      </c>
      <c r="O1191" s="3"/>
      <c r="P1191" s="3">
        <v>-2.39</v>
      </c>
      <c r="Q1191" s="6">
        <f>+L1191-M1191-N1191+P1191</f>
        <v>31.269999999999996</v>
      </c>
      <c r="R1191" s="3"/>
      <c r="S1191" s="3">
        <v>31.19</v>
      </c>
      <c r="T1191" s="3">
        <v>1.86</v>
      </c>
      <c r="U1191" s="3">
        <v>0</v>
      </c>
      <c r="V1191" s="3">
        <v>0</v>
      </c>
      <c r="W1191" s="3">
        <v>0</v>
      </c>
      <c r="X1191" s="2">
        <f>+S1191+T1191++U1191+V1191-W1191</f>
        <v>33.050000000000004</v>
      </c>
      <c r="Y1191" s="6">
        <f>+Q1191-X1191</f>
        <v>-1.7800000000000082</v>
      </c>
      <c r="Z1191" s="2"/>
      <c r="AA1191" s="2"/>
      <c r="AB1191" s="2"/>
      <c r="AC1191" s="3"/>
      <c r="AD1191" s="2"/>
      <c r="AE1191" s="2"/>
      <c r="AF1191" s="2"/>
      <c r="AG1191" s="2" t="s">
        <v>1411</v>
      </c>
      <c r="AH1191" s="2" t="s">
        <v>1410</v>
      </c>
      <c r="AI1191" s="2" t="s">
        <v>1409</v>
      </c>
      <c r="AJ1191" s="2"/>
      <c r="AK1191" s="2"/>
      <c r="AL1191" s="2" t="s">
        <v>4255</v>
      </c>
      <c r="AM1191" s="2"/>
      <c r="AN1191" s="2"/>
      <c r="AO1191" s="2" t="s">
        <v>1408</v>
      </c>
      <c r="AP1191" s="2"/>
      <c r="AQ1191" s="2"/>
      <c r="AR1191" s="2" t="s">
        <v>1499</v>
      </c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</row>
    <row r="1192" spans="2:58">
      <c r="B1192" s="20" t="s">
        <v>1530</v>
      </c>
      <c r="C1192" s="1">
        <v>43807</v>
      </c>
      <c r="E1192" s="2" t="s">
        <v>1341</v>
      </c>
      <c r="F1192" s="2"/>
      <c r="G1192" s="2" t="s">
        <v>1377</v>
      </c>
      <c r="H1192" s="2" t="s">
        <v>1378</v>
      </c>
      <c r="I1192" s="2"/>
      <c r="J1192" s="2">
        <v>1</v>
      </c>
      <c r="K1192" s="2"/>
      <c r="L1192" s="3">
        <v>16.5</v>
      </c>
      <c r="M1192" s="3">
        <v>1.65</v>
      </c>
      <c r="N1192" s="3">
        <v>1.08</v>
      </c>
      <c r="O1192" s="3"/>
      <c r="P1192" s="3">
        <v>1.1599999999999999</v>
      </c>
      <c r="Q1192" s="6">
        <f>+L1192-M1192-N1192+P1192</f>
        <v>14.93</v>
      </c>
      <c r="R1192" s="3"/>
      <c r="S1192" s="3">
        <v>4.6100000000000003</v>
      </c>
      <c r="T1192" s="3"/>
      <c r="U1192" s="3">
        <v>3.47</v>
      </c>
      <c r="V1192" s="3"/>
      <c r="W1192" s="3"/>
      <c r="X1192" s="2">
        <f>+S1192+T1192++U1192+V1192-W1192</f>
        <v>8.08</v>
      </c>
      <c r="Y1192" s="6">
        <f>+Q1192-X1192</f>
        <v>6.85</v>
      </c>
      <c r="Z1192" s="2"/>
      <c r="AA1192" s="2"/>
      <c r="AB1192" s="2"/>
      <c r="AC1192" s="3"/>
      <c r="AD1192" s="2"/>
      <c r="AE1192" s="2"/>
      <c r="AF1192" s="2" t="s">
        <v>1512</v>
      </c>
      <c r="AG1192" s="2" t="s">
        <v>1381</v>
      </c>
      <c r="AH1192" s="2" t="s">
        <v>1380</v>
      </c>
      <c r="AI1192" s="2" t="s">
        <v>1379</v>
      </c>
      <c r="AJ1192" s="2"/>
      <c r="AK1192" s="2"/>
      <c r="AL1192" s="2" t="s">
        <v>4261</v>
      </c>
      <c r="AM1192" s="2"/>
      <c r="AN1192" s="2"/>
      <c r="AO1192" s="16" t="s">
        <v>1374</v>
      </c>
      <c r="AP1192" s="2" t="s">
        <v>1418</v>
      </c>
      <c r="AQ1192" s="2"/>
      <c r="AR1192" s="19" t="s">
        <v>1513</v>
      </c>
      <c r="AS1192" s="2">
        <v>16</v>
      </c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</row>
    <row r="1193" spans="2:58">
      <c r="B1193" s="20" t="s">
        <v>1530</v>
      </c>
      <c r="C1193" s="1">
        <v>43807</v>
      </c>
      <c r="E1193" s="2" t="s">
        <v>1341</v>
      </c>
      <c r="F1193" s="2"/>
      <c r="G1193" s="2" t="s">
        <v>1367</v>
      </c>
      <c r="H1193" s="2" t="s">
        <v>1368</v>
      </c>
      <c r="I1193" s="2"/>
      <c r="J1193" s="2">
        <v>1</v>
      </c>
      <c r="K1193" s="2"/>
      <c r="L1193" s="3">
        <v>16.5</v>
      </c>
      <c r="M1193" s="3">
        <v>1.65</v>
      </c>
      <c r="N1193" s="3">
        <v>1.0900000000000001</v>
      </c>
      <c r="O1193" s="3"/>
      <c r="P1193" s="3">
        <v>-1.53</v>
      </c>
      <c r="Q1193" s="6">
        <f>+L1193-M1193-N1193+P1193</f>
        <v>12.23</v>
      </c>
      <c r="R1193" s="3"/>
      <c r="S1193" s="3">
        <v>4.6100000000000003</v>
      </c>
      <c r="T1193" s="3">
        <v>0.36</v>
      </c>
      <c r="U1193" s="3">
        <v>3.47</v>
      </c>
      <c r="V1193" s="3"/>
      <c r="W1193" s="3"/>
      <c r="X1193" s="2">
        <f>+S1193+T1193++U1193+V1193-W1193</f>
        <v>8.4400000000000013</v>
      </c>
      <c r="Y1193" s="6">
        <f>+Q1193-X1193</f>
        <v>3.7899999999999991</v>
      </c>
      <c r="Z1193" s="2"/>
      <c r="AA1193" s="2"/>
      <c r="AB1193" s="2"/>
      <c r="AC1193" s="3"/>
      <c r="AD1193" s="2"/>
      <c r="AE1193" s="2"/>
      <c r="AF1193" s="2" t="s">
        <v>1512</v>
      </c>
      <c r="AG1193" s="2" t="s">
        <v>1373</v>
      </c>
      <c r="AH1193" s="2" t="s">
        <v>1372</v>
      </c>
      <c r="AI1193" s="2" t="s">
        <v>1371</v>
      </c>
      <c r="AJ1193" s="2"/>
      <c r="AK1193" s="2"/>
      <c r="AL1193" s="2" t="s">
        <v>4261</v>
      </c>
      <c r="AM1193" s="2"/>
      <c r="AN1193" s="2"/>
      <c r="AO1193" s="16" t="s">
        <v>1376</v>
      </c>
      <c r="AP1193" s="2" t="s">
        <v>1540</v>
      </c>
      <c r="AQ1193" s="2"/>
      <c r="AR1193" s="19" t="s">
        <v>1510</v>
      </c>
      <c r="AS1193" s="2">
        <v>13</v>
      </c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</row>
    <row r="1194" spans="2:58">
      <c r="C1194" s="1">
        <v>43807</v>
      </c>
      <c r="E1194" s="2" t="s">
        <v>1399</v>
      </c>
      <c r="F1194" s="2"/>
      <c r="G1194" s="2" t="s">
        <v>1362</v>
      </c>
      <c r="H1194" s="2" t="s">
        <v>1363</v>
      </c>
      <c r="I1194" s="2"/>
      <c r="J1194" s="2">
        <v>1</v>
      </c>
      <c r="K1194" s="2"/>
      <c r="L1194" s="3">
        <v>36.5</v>
      </c>
      <c r="M1194" s="3">
        <v>3.65</v>
      </c>
      <c r="N1194" s="3">
        <v>2.94</v>
      </c>
      <c r="O1194" s="3"/>
      <c r="P1194" s="3">
        <v>3.14</v>
      </c>
      <c r="Q1194" s="6">
        <f>+L1194-M1194-N1194+P1194</f>
        <v>33.049999999999997</v>
      </c>
      <c r="R1194" s="3"/>
      <c r="S1194" s="3">
        <v>27</v>
      </c>
      <c r="T1194" s="3">
        <v>2.0299999999999998</v>
      </c>
      <c r="U1194" s="3"/>
      <c r="V1194" s="3"/>
      <c r="W1194" s="3"/>
      <c r="X1194" s="2">
        <f>+S1194+T1194++U1194+V1194-W1194</f>
        <v>29.03</v>
      </c>
      <c r="Y1194" s="6">
        <f>+Q1194-X1194</f>
        <v>4.019999999999996</v>
      </c>
      <c r="Z1194" s="2"/>
      <c r="AA1194" s="2"/>
      <c r="AB1194" s="2"/>
      <c r="AC1194" s="3"/>
      <c r="AD1194" s="2"/>
      <c r="AE1194" s="2"/>
      <c r="AF1194" s="2"/>
      <c r="AG1194" s="2" t="s">
        <v>1366</v>
      </c>
      <c r="AH1194" s="2" t="s">
        <v>1365</v>
      </c>
      <c r="AI1194" s="2" t="s">
        <v>1364</v>
      </c>
      <c r="AJ1194" s="2"/>
      <c r="AK1194" s="2"/>
      <c r="AL1194" s="2"/>
      <c r="AM1194" s="2"/>
      <c r="AN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</row>
    <row r="1195" spans="2:58">
      <c r="E1195" s="2"/>
      <c r="F1195" s="2"/>
      <c r="G1195" s="2"/>
      <c r="H1195" s="2"/>
      <c r="I1195" s="2"/>
      <c r="J1195" s="2"/>
      <c r="K1195" s="2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2"/>
      <c r="AA1195" s="2"/>
      <c r="AB1195" s="2"/>
      <c r="AC1195" s="3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</row>
    <row r="1196" spans="2:58">
      <c r="C1196" s="1">
        <v>43805</v>
      </c>
      <c r="E1196" s="2" t="s">
        <v>1348</v>
      </c>
      <c r="F1196" s="2"/>
      <c r="G1196" s="2" t="s">
        <v>1350</v>
      </c>
      <c r="H1196" s="2" t="s">
        <v>1349</v>
      </c>
      <c r="I1196" s="2"/>
      <c r="J1196" s="2">
        <v>1</v>
      </c>
      <c r="K1196" s="2"/>
      <c r="L1196" s="3">
        <v>81.5</v>
      </c>
      <c r="M1196" s="3">
        <v>8.15</v>
      </c>
      <c r="N1196" s="3">
        <v>4.24</v>
      </c>
      <c r="O1196" s="3"/>
      <c r="P1196" s="3">
        <v>-8.15</v>
      </c>
      <c r="Q1196" s="6">
        <f>+L1196-M1196-N1196+P1196</f>
        <v>60.96</v>
      </c>
      <c r="R1196" s="3"/>
      <c r="S1196" s="3">
        <v>65.19</v>
      </c>
      <c r="T1196" s="3">
        <v>6.52</v>
      </c>
      <c r="U1196" s="3"/>
      <c r="V1196" s="3"/>
      <c r="W1196" s="3">
        <v>6.52</v>
      </c>
      <c r="X1196" s="2">
        <f>+S1196+T1196++U1196+V1196-W1196</f>
        <v>65.19</v>
      </c>
      <c r="Y1196" s="6">
        <f>+Q1196-X1196</f>
        <v>-4.2299999999999969</v>
      </c>
      <c r="Z1196" s="2"/>
      <c r="AA1196" s="2"/>
      <c r="AB1196" s="2"/>
      <c r="AC1196" s="3"/>
      <c r="AD1196" s="2"/>
      <c r="AE1196" s="2"/>
      <c r="AF1196" s="2"/>
      <c r="AG1196" s="2" t="s">
        <v>1352</v>
      </c>
      <c r="AH1196" s="2" t="s">
        <v>1353</v>
      </c>
      <c r="AI1196" s="2" t="s">
        <v>1351</v>
      </c>
      <c r="AJ1196" s="2"/>
      <c r="AK1196" s="2"/>
      <c r="AL1196" s="2"/>
      <c r="AM1196" s="2" t="s">
        <v>1355</v>
      </c>
      <c r="AN1196" s="2"/>
      <c r="AO1196" s="2" t="s">
        <v>1354</v>
      </c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</row>
    <row r="1197" spans="2:58">
      <c r="C1197" s="1">
        <v>43805</v>
      </c>
      <c r="E1197" s="2" t="s">
        <v>1356</v>
      </c>
      <c r="F1197" s="2"/>
      <c r="G1197" s="2" t="s">
        <v>1357</v>
      </c>
      <c r="H1197" s="2" t="s">
        <v>1358</v>
      </c>
      <c r="I1197" s="2"/>
      <c r="J1197" s="2">
        <v>1</v>
      </c>
      <c r="K1197" s="2"/>
      <c r="L1197" s="3">
        <v>34.15</v>
      </c>
      <c r="M1197" s="3">
        <v>3.41</v>
      </c>
      <c r="N1197" s="3">
        <v>1.8</v>
      </c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2"/>
      <c r="AA1197" s="2"/>
      <c r="AB1197" s="2"/>
      <c r="AC1197" s="3"/>
      <c r="AD1197" s="2"/>
      <c r="AE1197" s="2"/>
      <c r="AF1197" s="2"/>
      <c r="AG1197" s="2" t="s">
        <v>1361</v>
      </c>
      <c r="AH1197" s="2" t="s">
        <v>1360</v>
      </c>
      <c r="AI1197" s="2" t="s">
        <v>1359</v>
      </c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</row>
    <row r="1198" spans="2:58">
      <c r="C1198" s="1"/>
      <c r="E1198" s="2"/>
      <c r="F1198" s="2"/>
      <c r="G1198" s="2"/>
      <c r="H1198" s="2"/>
      <c r="I1198" s="2"/>
      <c r="J1198" s="2"/>
      <c r="K1198" s="2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 t="s">
        <v>1369</v>
      </c>
      <c r="Z1198" s="2"/>
      <c r="AA1198" s="2"/>
      <c r="AB1198" s="2"/>
      <c r="AC1198" s="3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</row>
    <row r="1199" spans="2:58">
      <c r="B1199" s="20" t="s">
        <v>1530</v>
      </c>
      <c r="C1199" s="1">
        <v>43804</v>
      </c>
      <c r="E1199" s="2" t="s">
        <v>1341</v>
      </c>
      <c r="F1199" s="2"/>
      <c r="G1199" s="2" t="s">
        <v>1343</v>
      </c>
      <c r="H1199" s="2" t="s">
        <v>1342</v>
      </c>
      <c r="I1199" s="2"/>
      <c r="J1199" s="2">
        <v>1</v>
      </c>
      <c r="K1199" s="2"/>
      <c r="L1199" s="3">
        <v>16</v>
      </c>
      <c r="M1199" s="3">
        <v>1.6</v>
      </c>
      <c r="N1199" s="3">
        <v>1.06</v>
      </c>
      <c r="O1199" s="3"/>
      <c r="P1199" s="3">
        <v>-1.26</v>
      </c>
      <c r="Q1199" s="6">
        <f>+L1199-M1199-N1199+P1199</f>
        <v>12.08</v>
      </c>
      <c r="R1199" s="3"/>
      <c r="S1199" s="3">
        <v>4.6100000000000003</v>
      </c>
      <c r="T1199" s="3"/>
      <c r="U1199" s="3">
        <v>3.47</v>
      </c>
      <c r="V1199" s="3"/>
      <c r="W1199" s="3"/>
      <c r="X1199" s="2">
        <f>+S1199+T1199++U1199+V1199-W1199</f>
        <v>8.08</v>
      </c>
      <c r="Y1199" s="6">
        <f>+Q1199-X1199</f>
        <v>4</v>
      </c>
      <c r="Z1199" s="2"/>
      <c r="AA1199" s="2"/>
      <c r="AB1199" s="2"/>
      <c r="AC1199" s="3"/>
      <c r="AD1199" s="2"/>
      <c r="AE1199" s="2"/>
      <c r="AF1199" s="2"/>
      <c r="AG1199" s="2" t="s">
        <v>1346</v>
      </c>
      <c r="AH1199" s="2" t="s">
        <v>1345</v>
      </c>
      <c r="AI1199" s="2" t="s">
        <v>1344</v>
      </c>
      <c r="AJ1199" s="2"/>
      <c r="AK1199" s="2"/>
      <c r="AL1199" s="2"/>
      <c r="AM1199" s="2"/>
      <c r="AN1199" s="2"/>
      <c r="AO1199" s="16" t="s">
        <v>1375</v>
      </c>
      <c r="AP1199" s="2" t="s">
        <v>1390</v>
      </c>
      <c r="AQ1199" s="2"/>
      <c r="AR1199" s="19" t="s">
        <v>1526</v>
      </c>
      <c r="AS1199" s="2">
        <v>23</v>
      </c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</row>
    <row r="1200" spans="2:58">
      <c r="B1200" s="20" t="s">
        <v>1530</v>
      </c>
      <c r="C1200" s="1">
        <v>43804</v>
      </c>
      <c r="E1200" s="2" t="s">
        <v>1382</v>
      </c>
      <c r="F1200" s="2"/>
      <c r="G1200" s="2" t="s">
        <v>1384</v>
      </c>
      <c r="H1200" s="2" t="s">
        <v>1385</v>
      </c>
      <c r="I1200" s="2"/>
      <c r="J1200" s="2">
        <v>1</v>
      </c>
      <c r="K1200" s="2"/>
      <c r="L1200" s="3">
        <v>21</v>
      </c>
      <c r="M1200" s="3">
        <v>2.1</v>
      </c>
      <c r="N1200" s="3">
        <v>1.22</v>
      </c>
      <c r="O1200" s="3"/>
      <c r="P1200" s="3"/>
      <c r="Q1200" s="6">
        <f>+L1200-M1200-N1200+P1200</f>
        <v>17.68</v>
      </c>
      <c r="R1200" s="3"/>
      <c r="S1200" s="3">
        <f>9.98+1.98</f>
        <v>11.96</v>
      </c>
      <c r="T1200" s="3"/>
      <c r="U1200" s="3">
        <v>0.84</v>
      </c>
      <c r="V1200" s="3"/>
      <c r="W1200" s="3"/>
      <c r="X1200" s="2">
        <f>+S1200+T1200++U1200+V1200-W1200</f>
        <v>12.8</v>
      </c>
      <c r="Y1200" s="6">
        <f>+Q1200-X1200</f>
        <v>4.879999999999999</v>
      </c>
      <c r="Z1200" s="2"/>
      <c r="AA1200" s="2"/>
      <c r="AB1200" s="2"/>
      <c r="AC1200" s="3"/>
      <c r="AD1200" s="2"/>
      <c r="AE1200" s="2"/>
      <c r="AF1200" s="2" t="s">
        <v>1388</v>
      </c>
      <c r="AG1200" s="2"/>
      <c r="AH1200" s="2" t="s">
        <v>1387</v>
      </c>
      <c r="AI1200" s="2" t="s">
        <v>1386</v>
      </c>
      <c r="AJ1200" s="2"/>
      <c r="AK1200" s="2"/>
      <c r="AL1200" s="2"/>
      <c r="AM1200" s="2"/>
      <c r="AN1200" s="2"/>
      <c r="AO1200" s="16" t="s">
        <v>1389</v>
      </c>
      <c r="AP1200" s="2" t="s">
        <v>1383</v>
      </c>
      <c r="AQ1200" s="2"/>
      <c r="AR1200" s="19" t="s">
        <v>1529</v>
      </c>
      <c r="AS1200" s="2">
        <v>14</v>
      </c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</row>
    <row r="1201" spans="2:58">
      <c r="E1201" s="2"/>
      <c r="F1201" s="2"/>
      <c r="G1201" s="2"/>
      <c r="H1201" s="2"/>
      <c r="I1201" s="2"/>
      <c r="J1201" s="2"/>
      <c r="K1201" s="2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2"/>
      <c r="AA1201" s="2"/>
      <c r="AB1201" s="2"/>
      <c r="AC1201" s="3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</row>
    <row r="1202" spans="2:58">
      <c r="C1202" s="1">
        <v>43801</v>
      </c>
      <c r="E1202" s="2" t="s">
        <v>61</v>
      </c>
      <c r="F1202" s="2"/>
      <c r="G1202" s="2"/>
      <c r="H1202" s="2"/>
      <c r="I1202" s="2"/>
      <c r="J1202" s="2"/>
      <c r="K1202" s="2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2"/>
      <c r="AA1202" s="2"/>
      <c r="AB1202" s="2"/>
      <c r="AC1202" s="3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</row>
    <row r="1203" spans="2:58">
      <c r="E1203" s="2"/>
      <c r="F1203" s="2"/>
      <c r="G1203" s="2" t="s">
        <v>1369</v>
      </c>
      <c r="H1203" s="2"/>
      <c r="I1203" s="2"/>
      <c r="J1203" s="2"/>
      <c r="K1203" s="2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2"/>
      <c r="AA1203" s="2"/>
      <c r="AB1203" s="2"/>
      <c r="AC1203" s="3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</row>
    <row r="1204" spans="2:58">
      <c r="C1204" s="1">
        <v>43800</v>
      </c>
      <c r="E1204" s="2" t="s">
        <v>178</v>
      </c>
      <c r="F1204" s="2"/>
      <c r="G1204" s="2"/>
      <c r="H1204" s="2"/>
      <c r="I1204" s="2"/>
      <c r="J1204" s="2"/>
      <c r="K1204" s="2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2"/>
      <c r="AA1204" s="2"/>
      <c r="AB1204" s="2"/>
      <c r="AC1204" s="3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</row>
    <row r="1205" spans="2:58">
      <c r="C1205" s="1">
        <v>43800</v>
      </c>
      <c r="E1205" s="2" t="s">
        <v>178</v>
      </c>
      <c r="F1205" s="2"/>
      <c r="G1205" s="2" t="s">
        <v>1340</v>
      </c>
      <c r="H1205" s="2" t="s">
        <v>4587</v>
      </c>
      <c r="I1205" s="2"/>
      <c r="J1205" s="2">
        <v>1</v>
      </c>
      <c r="K1205" s="2"/>
      <c r="L1205" s="3">
        <v>32.700000000000003</v>
      </c>
      <c r="M1205" s="3">
        <v>3.27</v>
      </c>
      <c r="N1205" s="3">
        <v>1.84</v>
      </c>
      <c r="O1205" s="3"/>
      <c r="P1205" s="3">
        <v>2.29</v>
      </c>
      <c r="Q1205" s="6">
        <f>+L1205-M1205-N1205+P1205</f>
        <v>29.880000000000003</v>
      </c>
      <c r="R1205" s="3"/>
      <c r="S1205" s="3">
        <v>16.95</v>
      </c>
      <c r="T1205" s="3"/>
      <c r="U1205" s="3"/>
      <c r="V1205" s="3"/>
      <c r="W1205" s="3">
        <v>5</v>
      </c>
      <c r="X1205" s="3" t="s">
        <v>1369</v>
      </c>
      <c r="Y1205" s="3"/>
      <c r="Z1205" s="2"/>
      <c r="AA1205" s="2"/>
      <c r="AB1205" s="2"/>
      <c r="AC1205" s="3"/>
      <c r="AD1205" s="2"/>
      <c r="AE1205" s="2"/>
      <c r="AF1205" s="2"/>
      <c r="AG1205" s="2" t="s">
        <v>1339</v>
      </c>
      <c r="AH1205" s="2" t="s">
        <v>1338</v>
      </c>
      <c r="AI1205" s="2" t="s">
        <v>4586</v>
      </c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</row>
    <row r="1206" spans="2:58">
      <c r="C1206" s="1" t="s">
        <v>1322</v>
      </c>
      <c r="E1206" s="2"/>
      <c r="F1206" s="2"/>
      <c r="H1206" s="2"/>
      <c r="I1206" s="2"/>
      <c r="J1206" s="2"/>
      <c r="K1206" s="2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2"/>
      <c r="AA1206" s="2"/>
      <c r="AB1206" s="2"/>
      <c r="AC1206" s="3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</row>
    <row r="1207" spans="2:58">
      <c r="C1207" s="1">
        <v>43799</v>
      </c>
      <c r="E1207" s="2" t="s">
        <v>1398</v>
      </c>
      <c r="F1207" s="2"/>
      <c r="G1207" s="2" t="s">
        <v>1400</v>
      </c>
      <c r="H1207" s="2" t="s">
        <v>1401</v>
      </c>
      <c r="I1207" s="2"/>
      <c r="J1207" s="2">
        <v>1</v>
      </c>
      <c r="K1207" s="2"/>
      <c r="L1207" s="3">
        <v>25</v>
      </c>
      <c r="M1207" s="3">
        <v>2.5</v>
      </c>
      <c r="N1207" s="3">
        <v>1.51</v>
      </c>
      <c r="O1207" s="3" t="s">
        <v>1369</v>
      </c>
      <c r="P1207" s="3">
        <v>2.5</v>
      </c>
      <c r="Q1207" s="6">
        <f>+L1207-M1207-N1207+P1207</f>
        <v>23.49</v>
      </c>
      <c r="R1207" s="3"/>
      <c r="S1207" s="3">
        <v>26.4</v>
      </c>
      <c r="T1207" s="3">
        <v>2.5299999999999998</v>
      </c>
      <c r="U1207" s="3"/>
      <c r="V1207" s="3"/>
      <c r="W1207" s="3"/>
      <c r="X1207" s="2">
        <f>+S1207+T1207++U1207+V1207-W1207</f>
        <v>28.93</v>
      </c>
      <c r="Y1207" s="6">
        <f>+Q1207-X1207</f>
        <v>-5.4400000000000013</v>
      </c>
      <c r="Z1207" s="2"/>
      <c r="AA1207" s="2"/>
      <c r="AB1207" s="2"/>
      <c r="AC1207" s="3"/>
      <c r="AD1207" s="2"/>
      <c r="AE1207" s="2"/>
      <c r="AF1207" s="2"/>
      <c r="AG1207" s="2" t="s">
        <v>1404</v>
      </c>
      <c r="AH1207" s="2" t="s">
        <v>1403</v>
      </c>
      <c r="AI1207" s="2" t="s">
        <v>1402</v>
      </c>
      <c r="AJ1207" s="2"/>
      <c r="AK1207" s="2"/>
      <c r="AL1207" s="2"/>
      <c r="AM1207" s="2" t="s">
        <v>1355</v>
      </c>
      <c r="AN1207" s="2"/>
      <c r="AO1207" s="2" t="s">
        <v>1405</v>
      </c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</row>
    <row r="1208" spans="2:58">
      <c r="B1208" s="20" t="s">
        <v>1530</v>
      </c>
      <c r="C1208" s="1">
        <v>43798</v>
      </c>
      <c r="E1208" s="2" t="s">
        <v>1382</v>
      </c>
      <c r="F1208" s="2"/>
      <c r="G1208" s="2" t="s">
        <v>1396</v>
      </c>
      <c r="H1208" s="2" t="s">
        <v>1397</v>
      </c>
      <c r="I1208" s="2"/>
      <c r="J1208" s="2">
        <v>1</v>
      </c>
      <c r="K1208" s="2"/>
      <c r="L1208" s="3">
        <v>21</v>
      </c>
      <c r="M1208" s="3">
        <v>2.1</v>
      </c>
      <c r="N1208" s="3">
        <v>1.22</v>
      </c>
      <c r="O1208" s="3"/>
      <c r="P1208" s="3"/>
      <c r="Q1208" s="6">
        <f>+L1208-M1208-N1208+P1208</f>
        <v>17.68</v>
      </c>
      <c r="R1208" s="3"/>
      <c r="S1208" s="3">
        <f>9.86+1.95</f>
        <v>11.809999999999999</v>
      </c>
      <c r="T1208" s="3"/>
      <c r="U1208" s="3">
        <v>0.84</v>
      </c>
      <c r="V1208" s="3"/>
      <c r="W1208" s="3"/>
      <c r="X1208" s="2">
        <f>+S1208+T1208++U1208+V1208-W1208</f>
        <v>12.649999999999999</v>
      </c>
      <c r="Y1208" s="6">
        <f>+Q1208-X1208</f>
        <v>5.0300000000000011</v>
      </c>
      <c r="Z1208" s="2"/>
      <c r="AA1208" s="2"/>
      <c r="AB1208" s="2"/>
      <c r="AC1208" s="3"/>
      <c r="AD1208" s="2"/>
      <c r="AE1208" s="2"/>
      <c r="AF1208" s="2" t="s">
        <v>1393</v>
      </c>
      <c r="AG1208" s="2"/>
      <c r="AH1208" s="2" t="s">
        <v>1392</v>
      </c>
      <c r="AI1208" s="2" t="s">
        <v>1391</v>
      </c>
      <c r="AJ1208" s="2"/>
      <c r="AK1208" s="2"/>
      <c r="AL1208" s="2"/>
      <c r="AM1208" s="2" t="s">
        <v>1370</v>
      </c>
      <c r="AN1208" s="2"/>
      <c r="AO1208" s="16" t="s">
        <v>1395</v>
      </c>
      <c r="AP1208" s="2" t="s">
        <v>1394</v>
      </c>
      <c r="AQ1208" s="2"/>
      <c r="AR1208" s="19" t="s">
        <v>1509</v>
      </c>
      <c r="AS1208" s="2">
        <v>18</v>
      </c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</row>
    <row r="1209" spans="2:58">
      <c r="E1209" s="2" t="s">
        <v>1322</v>
      </c>
      <c r="F1209" s="2"/>
      <c r="G1209" s="2"/>
      <c r="H1209" s="2"/>
      <c r="I1209" s="2"/>
      <c r="J1209" s="2"/>
      <c r="K1209" s="2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2"/>
      <c r="AA1209" s="2"/>
      <c r="AB1209" s="2"/>
      <c r="AC1209" s="3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</row>
    <row r="1210" spans="2:58">
      <c r="C1210" s="1">
        <v>43792</v>
      </c>
      <c r="E1210" s="2" t="s">
        <v>393</v>
      </c>
      <c r="F1210" s="2"/>
      <c r="G1210" s="2" t="s">
        <v>1507</v>
      </c>
      <c r="H1210" s="2" t="s">
        <v>1508</v>
      </c>
      <c r="I1210" s="2"/>
      <c r="J1210" s="2">
        <v>1</v>
      </c>
      <c r="K1210" s="2"/>
      <c r="L1210" s="3">
        <v>55.36</v>
      </c>
      <c r="M1210" s="3">
        <v>5.36</v>
      </c>
      <c r="N1210" s="3">
        <v>2.98</v>
      </c>
      <c r="O1210" s="3"/>
      <c r="P1210" s="3">
        <v>5.54</v>
      </c>
      <c r="Q1210" s="6">
        <f>+L1210-M1210-N1210+P1210</f>
        <v>52.56</v>
      </c>
      <c r="R1210" s="3"/>
      <c r="S1210" s="3">
        <v>42.89</v>
      </c>
      <c r="T1210" s="3">
        <v>3.73</v>
      </c>
      <c r="U1210" s="3"/>
      <c r="V1210" s="3"/>
      <c r="W1210" s="3"/>
      <c r="X1210" s="2">
        <f>+S1210+T1210+V1210-W1210</f>
        <v>46.62</v>
      </c>
      <c r="Y1210" s="6">
        <f>+Q1210-X1210</f>
        <v>5.9400000000000048</v>
      </c>
      <c r="Z1210" s="2"/>
      <c r="AA1210" s="2"/>
      <c r="AB1210" s="2"/>
      <c r="AC1210" s="3"/>
      <c r="AD1210" s="2"/>
      <c r="AE1210" s="2"/>
      <c r="AF1210" s="2"/>
      <c r="AG1210" s="2" t="s">
        <v>1131</v>
      </c>
      <c r="AH1210" s="2" t="s">
        <v>1336</v>
      </c>
      <c r="AI1210" s="2" t="s">
        <v>1335</v>
      </c>
      <c r="AJ1210" s="2"/>
      <c r="AK1210" s="2"/>
      <c r="AL1210" s="2"/>
      <c r="AM1210" s="2" t="s">
        <v>1334</v>
      </c>
      <c r="AN1210" s="2"/>
      <c r="AO1210" s="2" t="s">
        <v>1337</v>
      </c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</row>
    <row r="1211" spans="2:58">
      <c r="C1211" s="1">
        <v>43792</v>
      </c>
      <c r="E1211" s="2" t="s">
        <v>663</v>
      </c>
      <c r="F1211" s="2"/>
      <c r="G1211" s="2" t="s">
        <v>1325</v>
      </c>
      <c r="H1211" s="2" t="s">
        <v>1326</v>
      </c>
      <c r="I1211" s="2"/>
      <c r="J1211" s="2">
        <v>1</v>
      </c>
      <c r="K1211" s="2"/>
      <c r="L1211" s="3">
        <v>17.170000000000002</v>
      </c>
      <c r="M1211" s="3">
        <v>1.71</v>
      </c>
      <c r="N1211" s="3">
        <v>1.1100000000000001</v>
      </c>
      <c r="O1211" s="3"/>
      <c r="P1211" s="3">
        <v>1.2</v>
      </c>
      <c r="Q1211" s="6">
        <f>+L1211-M1211-N1211+P1211</f>
        <v>15.55</v>
      </c>
      <c r="R1211" s="3"/>
      <c r="S1211" s="3"/>
      <c r="T1211" s="3"/>
      <c r="U1211" s="3"/>
      <c r="V1211" s="3"/>
      <c r="W1211" s="3"/>
      <c r="X1211" s="3"/>
      <c r="Y1211" s="3"/>
      <c r="Z1211" s="2"/>
      <c r="AA1211" s="2"/>
      <c r="AB1211" s="2"/>
      <c r="AC1211" s="3"/>
      <c r="AD1211" s="2"/>
      <c r="AE1211" s="2"/>
      <c r="AF1211" s="2"/>
      <c r="AG1211" s="2" t="s">
        <v>1143</v>
      </c>
      <c r="AH1211" s="2" t="s">
        <v>1324</v>
      </c>
      <c r="AI1211" s="2" t="s">
        <v>1323</v>
      </c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</row>
    <row r="1212" spans="2:58">
      <c r="C1212" s="1">
        <v>43792</v>
      </c>
      <c r="E1212" s="2" t="s">
        <v>1327</v>
      </c>
      <c r="F1212" s="2"/>
      <c r="G1212" s="2" t="s">
        <v>1328</v>
      </c>
      <c r="H1212" s="2" t="s">
        <v>1329</v>
      </c>
      <c r="I1212" s="2"/>
      <c r="J1212" s="2">
        <v>1</v>
      </c>
      <c r="K1212" s="2"/>
      <c r="L1212" s="3">
        <v>25.6</v>
      </c>
      <c r="M1212" s="3">
        <v>2.56</v>
      </c>
      <c r="N1212" s="3">
        <v>1.47</v>
      </c>
      <c r="O1212" s="3"/>
      <c r="P1212" s="3">
        <v>0.95</v>
      </c>
      <c r="Q1212" s="6">
        <f>+L1212-M1212-N1212+P1212</f>
        <v>22.520000000000003</v>
      </c>
      <c r="R1212" s="3"/>
      <c r="S1212" s="3">
        <v>16.809999999999999</v>
      </c>
      <c r="T1212" s="3">
        <v>1.27</v>
      </c>
      <c r="U1212" s="3"/>
      <c r="V1212" s="3"/>
      <c r="W1212" s="3"/>
      <c r="X1212" s="2">
        <f>+S1212+T1212+V1212-W1212</f>
        <v>18.079999999999998</v>
      </c>
      <c r="Y1212" s="6">
        <f>+Q1212-X1212</f>
        <v>4.4400000000000048</v>
      </c>
      <c r="Z1212" s="2"/>
      <c r="AA1212" s="2"/>
      <c r="AB1212" s="2"/>
      <c r="AC1212" s="3"/>
      <c r="AD1212" s="2"/>
      <c r="AE1212" s="2"/>
      <c r="AF1212" s="2"/>
      <c r="AG1212" s="2" t="s">
        <v>1333</v>
      </c>
      <c r="AH1212" s="2" t="s">
        <v>1332</v>
      </c>
      <c r="AI1212" s="2" t="s">
        <v>1331</v>
      </c>
      <c r="AJ1212" s="2"/>
      <c r="AK1212" s="2"/>
      <c r="AL1212" s="2"/>
      <c r="AM1212" s="2" t="s">
        <v>1334</v>
      </c>
      <c r="AN1212" s="2"/>
      <c r="AO1212" s="2" t="s">
        <v>1330</v>
      </c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</row>
    <row r="1213" spans="2:58">
      <c r="E1213" s="2"/>
      <c r="F1213" s="2"/>
      <c r="G1213" s="2"/>
      <c r="H1213" s="2"/>
      <c r="I1213" s="2"/>
      <c r="J1213" s="2"/>
      <c r="K1213" s="2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2"/>
      <c r="AA1213" s="2"/>
      <c r="AB1213" s="2"/>
      <c r="AC1213" s="3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</row>
    <row r="1214" spans="2:58">
      <c r="C1214" s="1">
        <v>43789</v>
      </c>
      <c r="E1214" s="2" t="s">
        <v>927</v>
      </c>
      <c r="F1214" s="2"/>
      <c r="G1214" s="2" t="s">
        <v>1318</v>
      </c>
      <c r="H1214" s="2" t="s">
        <v>3820</v>
      </c>
      <c r="I1214" s="2"/>
      <c r="J1214" s="2">
        <v>1</v>
      </c>
      <c r="K1214" s="2"/>
      <c r="L1214" s="3">
        <v>35.6</v>
      </c>
      <c r="M1214" s="3">
        <v>3.56</v>
      </c>
      <c r="N1214" s="3">
        <v>1.96</v>
      </c>
      <c r="O1214" s="3"/>
      <c r="P1214" s="3">
        <v>2.14</v>
      </c>
      <c r="Q1214" s="6">
        <f>+L1214-M1214-N1214+P1214</f>
        <v>32.22</v>
      </c>
      <c r="R1214" s="3"/>
      <c r="S1214" s="3">
        <v>26.99</v>
      </c>
      <c r="T1214" s="3">
        <v>1.62</v>
      </c>
      <c r="U1214" s="3"/>
      <c r="V1214" s="3"/>
      <c r="W1214" s="3"/>
      <c r="X1214" s="2">
        <f>+S1214+T1214+V1214-W1214</f>
        <v>28.61</v>
      </c>
      <c r="Y1214" s="6">
        <f>+Q1214-X1214</f>
        <v>3.6099999999999994</v>
      </c>
      <c r="Z1214" s="2"/>
      <c r="AA1214" s="2"/>
      <c r="AB1214" s="2"/>
      <c r="AC1214" s="3"/>
      <c r="AD1214" s="2"/>
      <c r="AE1214" s="2"/>
      <c r="AF1214" s="2"/>
      <c r="AG1214" s="2" t="s">
        <v>1321</v>
      </c>
      <c r="AH1214" s="2" t="s">
        <v>1320</v>
      </c>
      <c r="AI1214" s="2" t="s">
        <v>1319</v>
      </c>
      <c r="AJ1214" s="2"/>
      <c r="AK1214" s="2"/>
      <c r="AL1214" s="2"/>
      <c r="AM1214" s="2" t="s">
        <v>3819</v>
      </c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</row>
    <row r="1215" spans="2:58">
      <c r="E1215" s="2"/>
      <c r="F1215" s="2"/>
      <c r="G1215" s="2"/>
      <c r="H1215" s="2"/>
      <c r="I1215" s="2"/>
      <c r="J1215" s="2"/>
      <c r="K1215" s="2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 t="s">
        <v>1295</v>
      </c>
      <c r="Y1215" s="3"/>
      <c r="Z1215" s="2"/>
      <c r="AA1215" s="2"/>
      <c r="AB1215" s="2"/>
      <c r="AC1215" s="3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</row>
    <row r="1216" spans="2:58">
      <c r="C1216" s="1">
        <v>43786</v>
      </c>
      <c r="E1216" s="2" t="s">
        <v>1305</v>
      </c>
      <c r="F1216" s="2"/>
      <c r="G1216" s="2" t="s">
        <v>1312</v>
      </c>
      <c r="H1216" s="2" t="s">
        <v>1313</v>
      </c>
      <c r="I1216" s="2"/>
      <c r="J1216" s="2">
        <v>1</v>
      </c>
      <c r="K1216" s="2"/>
      <c r="L1216" s="3">
        <v>25.6</v>
      </c>
      <c r="M1216" s="3">
        <v>2.56</v>
      </c>
      <c r="N1216" s="3">
        <v>1.51</v>
      </c>
      <c r="O1216" s="3"/>
      <c r="P1216" s="3">
        <v>1.79</v>
      </c>
      <c r="Q1216" s="6">
        <f>+L1216-M1216-N1216+P1216</f>
        <v>23.32</v>
      </c>
      <c r="R1216" s="3"/>
      <c r="S1216" s="3">
        <v>16.68</v>
      </c>
      <c r="T1216" s="3">
        <v>1.08</v>
      </c>
      <c r="U1216" s="3"/>
      <c r="V1216" s="3"/>
      <c r="W1216" s="3"/>
      <c r="X1216" s="2">
        <f>+S1216+T1216+V1216-W1216</f>
        <v>17.759999999999998</v>
      </c>
      <c r="Y1216" s="6">
        <f>+Q1216-X1216</f>
        <v>5.5600000000000023</v>
      </c>
      <c r="Z1216" s="2"/>
      <c r="AA1216" s="2"/>
      <c r="AB1216" s="2"/>
      <c r="AC1216" s="3"/>
      <c r="AD1216" s="2"/>
      <c r="AE1216" s="2"/>
      <c r="AF1216" s="2"/>
      <c r="AG1216" s="2" t="s">
        <v>1316</v>
      </c>
      <c r="AH1216" s="2" t="s">
        <v>1315</v>
      </c>
      <c r="AI1216" s="2" t="s">
        <v>1314</v>
      </c>
      <c r="AJ1216" s="2"/>
      <c r="AK1216" s="2"/>
      <c r="AL1216" s="2"/>
      <c r="AM1216" s="2"/>
      <c r="AN1216" s="2"/>
      <c r="AO1216" s="9" t="s">
        <v>1306</v>
      </c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</row>
    <row r="1217" spans="3:58">
      <c r="C1217" s="1">
        <v>43786</v>
      </c>
      <c r="E1217" s="2" t="s">
        <v>1304</v>
      </c>
      <c r="F1217" s="2"/>
      <c r="G1217" s="2" t="s">
        <v>1307</v>
      </c>
      <c r="H1217" s="2" t="s">
        <v>1311</v>
      </c>
      <c r="I1217" s="2"/>
      <c r="J1217" s="2">
        <v>1</v>
      </c>
      <c r="K1217" s="2"/>
      <c r="L1217" s="3">
        <v>81.5</v>
      </c>
      <c r="M1217" s="3">
        <v>8.15</v>
      </c>
      <c r="N1217" s="3">
        <v>6.11</v>
      </c>
      <c r="O1217" s="3"/>
      <c r="P1217" s="3"/>
      <c r="Q1217" s="6">
        <f>+L1217-M1217-N1217+P1217</f>
        <v>67.239999999999995</v>
      </c>
      <c r="R1217" s="3"/>
      <c r="S1217" s="3">
        <v>65.19</v>
      </c>
      <c r="T1217" s="3">
        <v>6.26</v>
      </c>
      <c r="U1217" s="3"/>
      <c r="V1217" s="3"/>
      <c r="W1217" s="3">
        <v>6.52</v>
      </c>
      <c r="X1217" s="2">
        <f>+S1217+T1217+V1217-W1217</f>
        <v>64.930000000000007</v>
      </c>
      <c r="Y1217" s="6">
        <f>+Q1217-X1217</f>
        <v>2.3099999999999881</v>
      </c>
      <c r="Z1217" s="2"/>
      <c r="AA1217" s="2"/>
      <c r="AB1217" s="2"/>
      <c r="AC1217" s="3"/>
      <c r="AD1217" s="2"/>
      <c r="AE1217" s="2"/>
      <c r="AF1217" s="2"/>
      <c r="AG1217" s="2" t="s">
        <v>1310</v>
      </c>
      <c r="AH1217" s="2" t="s">
        <v>1309</v>
      </c>
      <c r="AI1217" s="2" t="s">
        <v>1308</v>
      </c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</row>
    <row r="1218" spans="3:58">
      <c r="E1218" s="5" t="s">
        <v>1317</v>
      </c>
      <c r="F1218" s="5"/>
      <c r="G1218" s="2"/>
      <c r="H1218" s="2"/>
      <c r="I1218" s="2"/>
      <c r="J1218" s="2"/>
      <c r="K1218" s="2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2"/>
      <c r="AA1218" s="2"/>
      <c r="AB1218" s="2"/>
      <c r="AC1218" s="3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</row>
    <row r="1219" spans="3:58">
      <c r="C1219" s="1">
        <v>43782</v>
      </c>
      <c r="E1219" s="2" t="s">
        <v>1297</v>
      </c>
      <c r="F1219" s="2"/>
      <c r="G1219" s="2" t="s">
        <v>1298</v>
      </c>
      <c r="H1219" s="2" t="s">
        <v>1299</v>
      </c>
      <c r="I1219" s="2"/>
      <c r="J1219" s="2">
        <v>2</v>
      </c>
      <c r="K1219" s="2"/>
      <c r="L1219" s="3">
        <v>85.6</v>
      </c>
      <c r="M1219" s="3">
        <v>8.56</v>
      </c>
      <c r="N1219" s="3">
        <v>4.42</v>
      </c>
      <c r="O1219" s="3"/>
      <c r="P1219" s="3"/>
      <c r="Q1219" s="6">
        <f>+L1219-M1219-N1219+P1219</f>
        <v>72.61999999999999</v>
      </c>
      <c r="R1219" s="3"/>
      <c r="S1219" s="3">
        <v>63.98</v>
      </c>
      <c r="T1219" s="3">
        <v>6.08</v>
      </c>
      <c r="U1219" s="3"/>
      <c r="V1219" s="3"/>
      <c r="W1219" s="3"/>
      <c r="X1219" s="2">
        <f>+S1219+T1219+V1219-W1219</f>
        <v>70.06</v>
      </c>
      <c r="Y1219" s="6">
        <f>+Q1219-X1219</f>
        <v>2.5599999999999881</v>
      </c>
      <c r="Z1219" s="2"/>
      <c r="AA1219" s="2"/>
      <c r="AB1219" s="2"/>
      <c r="AC1219" s="3"/>
      <c r="AD1219" s="2"/>
      <c r="AE1219" s="2"/>
      <c r="AF1219" s="2"/>
      <c r="AG1219" s="2" t="s">
        <v>1302</v>
      </c>
      <c r="AH1219" s="2" t="s">
        <v>1301</v>
      </c>
      <c r="AI1219" s="2" t="s">
        <v>1300</v>
      </c>
      <c r="AJ1219" s="2"/>
      <c r="AK1219" s="2"/>
      <c r="AL1219" s="2"/>
      <c r="AM1219" s="2" t="s">
        <v>1288</v>
      </c>
      <c r="AN1219" s="2"/>
      <c r="AO1219" s="2" t="s">
        <v>1303</v>
      </c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</row>
    <row r="1220" spans="3:58">
      <c r="E1220" s="2"/>
      <c r="F1220" s="2"/>
      <c r="G1220" s="2"/>
      <c r="H1220" s="2"/>
      <c r="I1220" s="2"/>
      <c r="J1220" s="2"/>
      <c r="K1220" s="2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2"/>
      <c r="AA1220" s="2"/>
      <c r="AB1220" s="2"/>
      <c r="AC1220" s="3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</row>
    <row r="1221" spans="3:58">
      <c r="C1221" s="1">
        <v>43776</v>
      </c>
      <c r="E1221" s="5" t="s">
        <v>1296</v>
      </c>
      <c r="F1221" s="5"/>
      <c r="G1221" s="2"/>
      <c r="H1221" s="2"/>
      <c r="I1221" s="2"/>
      <c r="J1221" s="2"/>
      <c r="K1221" s="2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2"/>
      <c r="AA1221" s="2"/>
      <c r="AB1221" s="2"/>
      <c r="AC1221" s="3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</row>
    <row r="1222" spans="3:58">
      <c r="E1222" s="2"/>
      <c r="F1222" s="2"/>
      <c r="G1222" s="2"/>
      <c r="H1222" s="2"/>
      <c r="I1222" s="2"/>
      <c r="J1222" s="2"/>
      <c r="K1222" s="2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2"/>
      <c r="AA1222" s="2"/>
      <c r="AB1222" s="2"/>
      <c r="AC1222" s="3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</row>
    <row r="1223" spans="3:58">
      <c r="C1223" s="1">
        <v>43775</v>
      </c>
      <c r="E1223" s="2" t="s">
        <v>1280</v>
      </c>
      <c r="F1223" s="2"/>
      <c r="G1223" s="2"/>
      <c r="H1223" s="2"/>
      <c r="I1223" s="2"/>
      <c r="J1223" s="2"/>
      <c r="K1223" s="2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2"/>
      <c r="AA1223" s="2"/>
      <c r="AB1223" s="2"/>
      <c r="AC1223" s="3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</row>
    <row r="1224" spans="3:58">
      <c r="E1224" s="2"/>
      <c r="F1224" s="2"/>
      <c r="G1224" s="2"/>
      <c r="H1224" s="2"/>
      <c r="I1224" s="2"/>
      <c r="J1224" s="2"/>
      <c r="K1224" s="2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 t="s">
        <v>1295</v>
      </c>
      <c r="Y1224" s="3"/>
      <c r="Z1224" s="2"/>
      <c r="AA1224" s="2"/>
      <c r="AB1224" s="2"/>
      <c r="AC1224" s="3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</row>
    <row r="1225" spans="3:58">
      <c r="C1225" s="1">
        <v>43774</v>
      </c>
      <c r="E1225" s="2" t="s">
        <v>1279</v>
      </c>
      <c r="F1225" s="2"/>
      <c r="G1225" s="2" t="s">
        <v>1290</v>
      </c>
      <c r="H1225" s="2" t="s">
        <v>1291</v>
      </c>
      <c r="I1225" s="2"/>
      <c r="J1225" s="2">
        <v>1</v>
      </c>
      <c r="K1225" s="2"/>
      <c r="L1225" s="3">
        <v>83.5</v>
      </c>
      <c r="M1225" s="3">
        <v>8.35</v>
      </c>
      <c r="N1225" s="3">
        <v>4.26</v>
      </c>
      <c r="O1225" s="3"/>
      <c r="P1225" s="3">
        <v>6.47</v>
      </c>
      <c r="Q1225" s="6">
        <f>+L1225-M1225-N1225+P1225</f>
        <v>77.36</v>
      </c>
      <c r="R1225" s="3"/>
      <c r="S1225" s="3">
        <v>65.19</v>
      </c>
      <c r="T1225" s="3">
        <v>5.05</v>
      </c>
      <c r="U1225" s="3"/>
      <c r="V1225" s="3"/>
      <c r="W1225" s="3">
        <v>6.52</v>
      </c>
      <c r="X1225" s="2">
        <f>+S1225+T1225+V1225-W1225</f>
        <v>63.72</v>
      </c>
      <c r="Y1225" s="6">
        <f>+Q1225-X1225</f>
        <v>13.64</v>
      </c>
      <c r="Z1225" s="6">
        <f>+Y1225</f>
        <v>13.64</v>
      </c>
      <c r="AA1225" s="2"/>
      <c r="AB1225" s="2"/>
      <c r="AC1225" s="3"/>
      <c r="AD1225" s="2"/>
      <c r="AE1225" s="2"/>
      <c r="AF1225" s="2"/>
      <c r="AG1225" s="2" t="s">
        <v>1294</v>
      </c>
      <c r="AH1225" s="2" t="s">
        <v>1293</v>
      </c>
      <c r="AI1225" s="2" t="s">
        <v>1292</v>
      </c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</row>
    <row r="1226" spans="3:58">
      <c r="C1226" s="1">
        <v>43774</v>
      </c>
      <c r="E1226" s="2" t="s">
        <v>1281</v>
      </c>
      <c r="F1226" s="2"/>
      <c r="G1226" s="2" t="s">
        <v>1282</v>
      </c>
      <c r="H1226" s="2" t="s">
        <v>1284</v>
      </c>
      <c r="I1226" s="2"/>
      <c r="J1226" s="2">
        <v>1</v>
      </c>
      <c r="K1226" s="2"/>
      <c r="L1226" s="3">
        <v>16.97</v>
      </c>
      <c r="M1226" s="3">
        <v>1.69</v>
      </c>
      <c r="N1226" s="3">
        <v>1.1000000000000001</v>
      </c>
      <c r="O1226" s="3"/>
      <c r="P1226" s="3">
        <v>1.19</v>
      </c>
      <c r="Q1226" s="6">
        <f>+L1226-M1226-N1226+P1226</f>
        <v>15.37</v>
      </c>
      <c r="R1226" s="3"/>
      <c r="S1226" s="3">
        <v>12.39</v>
      </c>
      <c r="T1226" s="3"/>
      <c r="U1226" s="3"/>
      <c r="V1226" s="3"/>
      <c r="W1226" s="3">
        <v>0</v>
      </c>
      <c r="X1226" s="2">
        <f>+S1226+T1226+V1226-W1226</f>
        <v>12.39</v>
      </c>
      <c r="Y1226" s="6">
        <f>+Q1226-X1226</f>
        <v>2.9799999999999986</v>
      </c>
      <c r="Z1226" s="2"/>
      <c r="AA1226" s="2"/>
      <c r="AB1226" s="2"/>
      <c r="AC1226" s="3"/>
      <c r="AD1226" s="2"/>
      <c r="AE1226" s="2"/>
      <c r="AF1226" s="2"/>
      <c r="AG1226" s="2" t="s">
        <v>1287</v>
      </c>
      <c r="AH1226" s="2" t="s">
        <v>1286</v>
      </c>
      <c r="AI1226" s="2" t="s">
        <v>1285</v>
      </c>
      <c r="AJ1226" s="2"/>
      <c r="AK1226" s="2"/>
      <c r="AL1226" s="2"/>
      <c r="AM1226" s="2" t="s">
        <v>1288</v>
      </c>
      <c r="AN1226" s="2"/>
      <c r="AO1226" s="10" t="s">
        <v>1289</v>
      </c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</row>
    <row r="1227" spans="3:58">
      <c r="E1227" s="2"/>
      <c r="F1227" s="2"/>
      <c r="H1227" s="2"/>
      <c r="I1227" s="2"/>
      <c r="J1227" s="2"/>
      <c r="K1227" s="2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2"/>
      <c r="AA1227" s="2"/>
      <c r="AB1227" s="2"/>
      <c r="AC1227" s="3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</row>
    <row r="1228" spans="3:58">
      <c r="C1228" s="1">
        <v>43773</v>
      </c>
      <c r="E1228" s="2" t="s">
        <v>178</v>
      </c>
      <c r="F1228" s="2"/>
      <c r="G1228" s="2"/>
      <c r="H1228" s="2"/>
      <c r="I1228" s="2"/>
      <c r="J1228" s="2"/>
      <c r="K1228" s="2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2"/>
      <c r="AA1228" s="2"/>
      <c r="AB1228" s="2"/>
      <c r="AC1228" s="3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</row>
    <row r="1229" spans="3:58">
      <c r="C1229" s="1"/>
      <c r="E1229" s="2"/>
      <c r="F1229" s="2"/>
      <c r="G1229" s="2"/>
      <c r="H1229" s="2"/>
      <c r="I1229" s="2"/>
      <c r="J1229" s="2"/>
      <c r="K1229" s="2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2"/>
      <c r="AA1229" s="2"/>
      <c r="AB1229" s="2"/>
      <c r="AC1229" s="3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</row>
    <row r="1230" spans="3:58">
      <c r="C1230" s="1">
        <v>43772</v>
      </c>
      <c r="E1230" s="2" t="s">
        <v>178</v>
      </c>
      <c r="F1230" s="2"/>
      <c r="G1230" s="2"/>
      <c r="H1230" s="2"/>
      <c r="I1230" s="2"/>
      <c r="J1230" s="2"/>
      <c r="K1230" s="2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2"/>
      <c r="AA1230" s="2"/>
      <c r="AB1230" s="2"/>
      <c r="AC1230" s="3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</row>
    <row r="1231" spans="3:58">
      <c r="E1231" s="2"/>
      <c r="F1231" s="2"/>
      <c r="G1231" s="2"/>
      <c r="H1231" s="2"/>
      <c r="I1231" s="2"/>
      <c r="J1231" s="2"/>
      <c r="K1231" s="2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2"/>
      <c r="AA1231" s="2"/>
      <c r="AB1231" s="2"/>
      <c r="AC1231" s="3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</row>
    <row r="1232" spans="3:58">
      <c r="C1232" s="1">
        <v>43770</v>
      </c>
      <c r="E1232" s="2" t="s">
        <v>1277</v>
      </c>
      <c r="F1232" s="2"/>
      <c r="G1232" s="2"/>
      <c r="H1232" s="2"/>
      <c r="I1232" s="2"/>
      <c r="J1232" s="2"/>
      <c r="K1232" s="2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6">
        <f>+Y1232</f>
        <v>0</v>
      </c>
      <c r="AA1232" s="2"/>
      <c r="AB1232" s="2"/>
      <c r="AC1232" s="3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</row>
    <row r="1233" spans="3:58">
      <c r="C1233" s="1">
        <v>43770</v>
      </c>
      <c r="E1233" s="2" t="s">
        <v>1278</v>
      </c>
      <c r="F1233" s="2"/>
      <c r="G1233" s="2"/>
      <c r="H1233" s="5" t="s">
        <v>1283</v>
      </c>
      <c r="I1233" s="2"/>
      <c r="J1233" s="2"/>
      <c r="K1233" s="2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2"/>
      <c r="AA1233" s="2"/>
      <c r="AB1233" s="2"/>
      <c r="AC1233" s="3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</row>
    <row r="1234" spans="3:58">
      <c r="E1234" s="2"/>
      <c r="F1234" s="2"/>
      <c r="G1234" s="2"/>
      <c r="H1234" s="2"/>
      <c r="I1234" s="2"/>
      <c r="J1234" s="2"/>
      <c r="K1234" s="2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2"/>
      <c r="AA1234" s="2"/>
      <c r="AB1234" s="2"/>
      <c r="AC1234" s="3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</row>
    <row r="1235" spans="3:58">
      <c r="C1235" s="1">
        <v>43766</v>
      </c>
      <c r="E1235" s="2" t="s">
        <v>720</v>
      </c>
      <c r="F1235" s="2"/>
      <c r="G1235" s="2" t="s">
        <v>1271</v>
      </c>
      <c r="H1235" s="2" t="s">
        <v>1272</v>
      </c>
      <c r="I1235" s="2"/>
      <c r="J1235" s="2">
        <v>1</v>
      </c>
      <c r="K1235" s="2"/>
      <c r="L1235" s="3">
        <v>83.5</v>
      </c>
      <c r="M1235" s="3">
        <v>8.35</v>
      </c>
      <c r="N1235" s="3">
        <v>4.24</v>
      </c>
      <c r="O1235" s="3"/>
      <c r="P1235" s="3">
        <v>6.05</v>
      </c>
      <c r="Q1235" s="6">
        <f>+L1235-M1235-N1235+P1235</f>
        <v>76.960000000000008</v>
      </c>
      <c r="R1235" s="3"/>
      <c r="S1235" s="3">
        <v>65.19</v>
      </c>
      <c r="T1235" s="3"/>
      <c r="U1235" s="3"/>
      <c r="V1235" s="3"/>
      <c r="W1235" s="3">
        <v>6.52</v>
      </c>
      <c r="X1235" s="2">
        <f>+S1235+T1235+V1235-W1235</f>
        <v>58.67</v>
      </c>
      <c r="Y1235" s="6">
        <f>+Q1235-X1235</f>
        <v>18.290000000000006</v>
      </c>
      <c r="Z1235" s="6">
        <f>+Y1235</f>
        <v>18.290000000000006</v>
      </c>
      <c r="AA1235" s="2"/>
      <c r="AB1235" s="2"/>
      <c r="AC1235" s="3"/>
      <c r="AD1235" s="2"/>
      <c r="AE1235" s="2"/>
      <c r="AF1235" s="2"/>
      <c r="AG1235" s="2" t="s">
        <v>1276</v>
      </c>
      <c r="AH1235" s="2" t="s">
        <v>1275</v>
      </c>
      <c r="AI1235" s="2" t="s">
        <v>1274</v>
      </c>
      <c r="AJ1235" s="2"/>
      <c r="AK1235" s="2"/>
      <c r="AL1235" s="2"/>
      <c r="AM1235" s="2" t="s">
        <v>1253</v>
      </c>
      <c r="AN1235" s="2"/>
      <c r="AO1235" s="11" t="s">
        <v>1273</v>
      </c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</row>
    <row r="1236" spans="3:58">
      <c r="E1236" s="2"/>
      <c r="F1236" s="2"/>
      <c r="G1236" s="2"/>
      <c r="H1236" s="2"/>
      <c r="I1236" s="2"/>
      <c r="J1236" s="2"/>
      <c r="K1236" s="2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 t="s">
        <v>1210</v>
      </c>
      <c r="Y1236" s="3"/>
      <c r="Z1236" s="2"/>
      <c r="AA1236" s="2"/>
      <c r="AB1236" s="2"/>
      <c r="AC1236" s="3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</row>
    <row r="1237" spans="3:58">
      <c r="C1237" s="1">
        <v>43765</v>
      </c>
      <c r="E1237" s="2" t="s">
        <v>1264</v>
      </c>
      <c r="F1237" s="2"/>
      <c r="G1237" s="2" t="s">
        <v>1265</v>
      </c>
      <c r="H1237" s="2" t="s">
        <v>1266</v>
      </c>
      <c r="I1237" s="2"/>
      <c r="J1237" s="2">
        <v>1</v>
      </c>
      <c r="K1237" s="2"/>
      <c r="L1237" s="3">
        <v>15.5</v>
      </c>
      <c r="M1237" s="3">
        <v>1.55</v>
      </c>
      <c r="N1237" s="3">
        <v>0.98</v>
      </c>
      <c r="O1237" s="3"/>
      <c r="P1237" s="3"/>
      <c r="Q1237" s="6">
        <f>+L1237-M1237-N1237+P1237</f>
        <v>12.969999999999999</v>
      </c>
      <c r="R1237" s="3"/>
      <c r="S1237" s="3">
        <v>8.99</v>
      </c>
      <c r="T1237" s="3"/>
      <c r="U1237" s="3"/>
      <c r="V1237" s="3"/>
      <c r="W1237" s="3"/>
      <c r="X1237" s="2">
        <f>+S1237+T1237+V1237-W1237</f>
        <v>8.99</v>
      </c>
      <c r="Y1237" s="6">
        <f>+Q1237-X1237</f>
        <v>3.9799999999999986</v>
      </c>
      <c r="Z1237" s="2"/>
      <c r="AA1237" s="2"/>
      <c r="AB1237" s="2"/>
      <c r="AC1237" s="3"/>
      <c r="AD1237" s="2"/>
      <c r="AE1237" s="2"/>
      <c r="AF1237" s="2"/>
      <c r="AG1237" s="2" t="s">
        <v>1268</v>
      </c>
      <c r="AH1237" s="2" t="s">
        <v>1270</v>
      </c>
      <c r="AI1237" s="2" t="s">
        <v>1269</v>
      </c>
      <c r="AJ1237" s="2"/>
      <c r="AK1237" s="2"/>
      <c r="AL1237" s="2"/>
      <c r="AM1237" s="2" t="s">
        <v>1253</v>
      </c>
      <c r="AN1237" s="2"/>
      <c r="AO1237" s="2" t="s">
        <v>1267</v>
      </c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</row>
    <row r="1238" spans="3:58">
      <c r="C1238" s="1">
        <v>43765</v>
      </c>
      <c r="E1238" s="2" t="s">
        <v>1163</v>
      </c>
      <c r="F1238" s="2"/>
      <c r="G1238" s="2" t="s">
        <v>1255</v>
      </c>
      <c r="H1238" s="2" t="s">
        <v>1256</v>
      </c>
      <c r="I1238" s="2"/>
      <c r="J1238" s="2">
        <v>1</v>
      </c>
      <c r="K1238" s="2"/>
      <c r="L1238" s="3">
        <v>16.97</v>
      </c>
      <c r="M1238" s="3">
        <v>1.69</v>
      </c>
      <c r="N1238" s="3">
        <v>1.05</v>
      </c>
      <c r="O1238" s="3"/>
      <c r="P1238" s="3"/>
      <c r="Q1238" s="6">
        <f>+L1238-M1238-N1238+P1238</f>
        <v>14.229999999999999</v>
      </c>
      <c r="R1238" s="3"/>
      <c r="S1238" s="3">
        <v>12.39</v>
      </c>
      <c r="T1238" s="3">
        <v>1.05</v>
      </c>
      <c r="U1238" s="3"/>
      <c r="V1238" s="3"/>
      <c r="W1238" s="3"/>
      <c r="X1238" s="2">
        <f>+S1238+T1238+V1238-W1238</f>
        <v>13.440000000000001</v>
      </c>
      <c r="Y1238" s="6">
        <f>+Q1238-X1238</f>
        <v>0.78999999999999737</v>
      </c>
      <c r="Z1238" s="2"/>
      <c r="AA1238" s="2"/>
      <c r="AB1238" s="2"/>
      <c r="AC1238" s="3"/>
      <c r="AD1238" s="2"/>
      <c r="AE1238" s="2"/>
      <c r="AF1238" s="2"/>
      <c r="AG1238" s="2" t="s">
        <v>1262</v>
      </c>
      <c r="AH1238" s="2" t="s">
        <v>1261</v>
      </c>
      <c r="AI1238" s="2" t="s">
        <v>1260</v>
      </c>
      <c r="AJ1238" s="2"/>
      <c r="AK1238" s="2"/>
      <c r="AL1238" s="2"/>
      <c r="AM1238" s="2" t="s">
        <v>1253</v>
      </c>
      <c r="AN1238" s="2"/>
      <c r="AO1238" s="14" t="s">
        <v>1263</v>
      </c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</row>
    <row r="1239" spans="3:58">
      <c r="E1239" s="2"/>
      <c r="F1239" s="2"/>
      <c r="G1239" s="2"/>
      <c r="H1239" s="2"/>
      <c r="I1239" s="2"/>
      <c r="J1239" s="2"/>
      <c r="K1239" s="2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 t="s">
        <v>1210</v>
      </c>
      <c r="Z1239" s="2"/>
      <c r="AA1239" s="2"/>
      <c r="AB1239" s="2"/>
      <c r="AC1239" s="3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</row>
    <row r="1240" spans="3:58">
      <c r="C1240" s="1">
        <v>43764</v>
      </c>
      <c r="E1240" s="2" t="s">
        <v>720</v>
      </c>
      <c r="F1240" s="2"/>
      <c r="G1240" s="2" t="s">
        <v>1249</v>
      </c>
      <c r="H1240" s="2" t="s">
        <v>1250</v>
      </c>
      <c r="I1240" s="2"/>
      <c r="J1240" s="2">
        <v>1</v>
      </c>
      <c r="K1240" s="2"/>
      <c r="L1240" s="3">
        <v>83.5</v>
      </c>
      <c r="M1240" s="3">
        <v>8.35</v>
      </c>
      <c r="N1240" s="3">
        <v>3.97</v>
      </c>
      <c r="O1240" s="3"/>
      <c r="P1240" s="3"/>
      <c r="Q1240" s="6">
        <f>+L1240-M1240-N1240+P1240</f>
        <v>71.180000000000007</v>
      </c>
      <c r="R1240" s="3"/>
      <c r="S1240" s="3">
        <v>65.19</v>
      </c>
      <c r="T1240" s="3">
        <v>5.05</v>
      </c>
      <c r="U1240" s="3"/>
      <c r="V1240" s="3"/>
      <c r="W1240" s="3">
        <v>6.52</v>
      </c>
      <c r="X1240" s="2">
        <f>+S1240+T1240+V1240-W1240</f>
        <v>63.72</v>
      </c>
      <c r="Y1240" s="6">
        <f>+Q1240-X1240</f>
        <v>7.460000000000008</v>
      </c>
      <c r="Z1240" s="6">
        <f>+Y1240</f>
        <v>7.460000000000008</v>
      </c>
      <c r="AA1240" s="2" t="s">
        <v>1210</v>
      </c>
      <c r="AB1240" s="2"/>
      <c r="AC1240" s="3"/>
      <c r="AD1240" s="2"/>
      <c r="AE1240" s="2"/>
      <c r="AF1240" s="2"/>
      <c r="AG1240" s="2" t="s">
        <v>1225</v>
      </c>
      <c r="AH1240" s="2" t="s">
        <v>1252</v>
      </c>
      <c r="AI1240" s="2" t="s">
        <v>1251</v>
      </c>
      <c r="AJ1240" s="2"/>
      <c r="AK1240" s="2"/>
      <c r="AL1240" s="2"/>
      <c r="AM1240" s="2" t="s">
        <v>1253</v>
      </c>
      <c r="AN1240" s="2"/>
      <c r="AO1240" s="2" t="s">
        <v>1254</v>
      </c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</row>
    <row r="1241" spans="3:58">
      <c r="E1241" s="5" t="s">
        <v>1248</v>
      </c>
      <c r="F1241" s="5"/>
      <c r="G1241" s="2"/>
      <c r="H1241" s="2"/>
      <c r="I1241" s="2"/>
      <c r="J1241" s="2"/>
      <c r="K1241" s="2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2"/>
      <c r="AA1241" s="2"/>
      <c r="AB1241" s="2"/>
      <c r="AC1241" s="3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</row>
    <row r="1242" spans="3:58">
      <c r="C1242" s="1">
        <v>43762</v>
      </c>
      <c r="E1242" s="2" t="s">
        <v>1163</v>
      </c>
      <c r="F1242" s="2"/>
      <c r="G1242" s="2" t="s">
        <v>1257</v>
      </c>
      <c r="H1242" s="2" t="s">
        <v>1258</v>
      </c>
      <c r="I1242" s="2"/>
      <c r="J1242" s="2">
        <v>1</v>
      </c>
      <c r="K1242" s="2"/>
      <c r="L1242" s="3">
        <v>16.899999999999999</v>
      </c>
      <c r="M1242" s="3">
        <v>1.69</v>
      </c>
      <c r="N1242" s="3">
        <v>1.04</v>
      </c>
      <c r="O1242" s="3"/>
      <c r="P1242" s="3"/>
      <c r="Q1242" s="6">
        <f>+L1242-M1242-N1242+P1242</f>
        <v>14.169999999999998</v>
      </c>
      <c r="R1242" s="3"/>
      <c r="S1242" s="3">
        <v>12.39</v>
      </c>
      <c r="T1242" s="3">
        <v>0.74</v>
      </c>
      <c r="U1242" s="3"/>
      <c r="V1242" s="3"/>
      <c r="W1242" s="3"/>
      <c r="X1242" s="2">
        <f>+S1242+T1242+V1242-W1242</f>
        <v>13.13</v>
      </c>
      <c r="Y1242" s="6">
        <f>+Q1242-X1242</f>
        <v>1.0399999999999974</v>
      </c>
      <c r="Z1242" s="2"/>
      <c r="AA1242" s="2"/>
      <c r="AB1242" s="2"/>
      <c r="AC1242" s="3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 t="s">
        <v>1253</v>
      </c>
      <c r="AN1242" s="2"/>
      <c r="AO1242" s="2" t="s">
        <v>1259</v>
      </c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</row>
    <row r="1243" spans="3:58">
      <c r="E1243" s="2"/>
      <c r="F1243" s="2"/>
      <c r="G1243" s="2"/>
      <c r="H1243" s="2"/>
      <c r="I1243" s="2"/>
      <c r="J1243" s="2"/>
      <c r="K1243" s="2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2" t="s">
        <v>1210</v>
      </c>
      <c r="AA1243" s="2"/>
      <c r="AB1243" s="2"/>
      <c r="AC1243" s="3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</row>
    <row r="1244" spans="3:58">
      <c r="C1244" s="1">
        <v>43761</v>
      </c>
      <c r="E1244" s="2" t="s">
        <v>1245</v>
      </c>
      <c r="F1244" s="2"/>
      <c r="G1244" s="2" t="s">
        <v>1246</v>
      </c>
      <c r="H1244" s="2" t="s">
        <v>1247</v>
      </c>
      <c r="I1244" s="2"/>
      <c r="J1244" s="2">
        <v>1</v>
      </c>
      <c r="K1244" s="2"/>
      <c r="L1244" s="3">
        <v>83.5</v>
      </c>
      <c r="M1244" s="3">
        <v>8.35</v>
      </c>
      <c r="N1244" s="3">
        <v>3.97</v>
      </c>
      <c r="O1244" s="3"/>
      <c r="P1244" s="3"/>
      <c r="Q1244" s="6">
        <f>+L1244-M1244-N1244+P1244</f>
        <v>71.180000000000007</v>
      </c>
      <c r="R1244" s="3"/>
      <c r="S1244" s="3">
        <v>65.19</v>
      </c>
      <c r="T1244" s="3">
        <v>5.38</v>
      </c>
      <c r="U1244" s="3"/>
      <c r="V1244" s="3"/>
      <c r="W1244" s="3">
        <v>6.52</v>
      </c>
      <c r="X1244" s="2">
        <f>+S1244+T1244+V1244-W1244</f>
        <v>64.05</v>
      </c>
      <c r="Y1244" s="6">
        <f>+Q1244-X1244</f>
        <v>7.1300000000000097</v>
      </c>
      <c r="Z1244" s="6">
        <f>+Y1244</f>
        <v>7.1300000000000097</v>
      </c>
      <c r="AA1244" s="2"/>
      <c r="AB1244" s="2"/>
      <c r="AC1244" s="3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</row>
    <row r="1245" spans="3:58">
      <c r="D1245" t="s">
        <v>1210</v>
      </c>
      <c r="E1245" s="5" t="s">
        <v>1244</v>
      </c>
      <c r="F1245" s="5"/>
      <c r="G1245" s="2"/>
      <c r="H1245" s="2"/>
      <c r="I1245" s="2"/>
      <c r="J1245" s="2"/>
      <c r="K1245" s="2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2"/>
      <c r="AA1245" s="2"/>
      <c r="AB1245" s="2"/>
      <c r="AC1245" s="3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</row>
    <row r="1246" spans="3:58">
      <c r="C1246" s="1">
        <v>43758</v>
      </c>
      <c r="E1246" s="2" t="s">
        <v>1211</v>
      </c>
      <c r="F1246" s="2"/>
      <c r="G1246" s="2" t="s">
        <v>1212</v>
      </c>
      <c r="H1246" s="2" t="s">
        <v>1213</v>
      </c>
      <c r="I1246" s="2"/>
      <c r="J1246" s="2">
        <v>1</v>
      </c>
      <c r="K1246" s="2"/>
      <c r="L1246" s="3">
        <v>83.5</v>
      </c>
      <c r="M1246" s="3">
        <v>8.35</v>
      </c>
      <c r="N1246" s="3">
        <v>4.1900000000000004</v>
      </c>
      <c r="O1246" s="3"/>
      <c r="P1246" s="3">
        <v>5.01</v>
      </c>
      <c r="Q1246" s="6">
        <f>+L1246-M1246-N1246+P1246</f>
        <v>75.970000000000013</v>
      </c>
      <c r="R1246" s="3"/>
      <c r="S1246" s="3">
        <v>65.19</v>
      </c>
      <c r="T1246" s="3"/>
      <c r="U1246" s="3"/>
      <c r="V1246" s="3"/>
      <c r="W1246" s="3">
        <v>6.52</v>
      </c>
      <c r="X1246" s="2">
        <f>+S1246+T1246+V1246-W1246</f>
        <v>58.67</v>
      </c>
      <c r="Y1246" s="6">
        <f>+Q1246-X1246</f>
        <v>17.300000000000011</v>
      </c>
      <c r="Z1246" s="6">
        <f>+Y1246</f>
        <v>17.300000000000011</v>
      </c>
      <c r="AA1246" s="2"/>
      <c r="AB1246" s="2"/>
      <c r="AC1246" s="3"/>
      <c r="AD1246" s="2"/>
      <c r="AE1246" s="2"/>
      <c r="AF1246" s="2"/>
      <c r="AG1246" s="2" t="s">
        <v>1243</v>
      </c>
      <c r="AH1246" s="2" t="s">
        <v>1242</v>
      </c>
      <c r="AI1246" s="2" t="s">
        <v>1241</v>
      </c>
      <c r="AJ1246" s="2"/>
      <c r="AK1246" s="2" t="s">
        <v>1239</v>
      </c>
      <c r="AL1246" s="2" t="s">
        <v>4262</v>
      </c>
      <c r="AM1246" s="2"/>
      <c r="AN1246" s="2"/>
      <c r="AO1246" s="10" t="s">
        <v>1240</v>
      </c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</row>
    <row r="1247" spans="3:58">
      <c r="C1247" s="1">
        <v>43758</v>
      </c>
      <c r="E1247" s="2" t="s">
        <v>1214</v>
      </c>
      <c r="F1247" s="2"/>
      <c r="G1247" s="2" t="s">
        <v>1216</v>
      </c>
      <c r="H1247" s="2" t="s">
        <v>1215</v>
      </c>
      <c r="I1247" s="2"/>
      <c r="J1247" s="2">
        <v>1</v>
      </c>
      <c r="K1247" s="2"/>
      <c r="L1247" s="3">
        <v>83.5</v>
      </c>
      <c r="M1247" s="3">
        <v>8.35</v>
      </c>
      <c r="N1247" s="3">
        <v>3.97</v>
      </c>
      <c r="O1247" s="3"/>
      <c r="P1247" s="3"/>
      <c r="Q1247" s="6">
        <f>+L1247-M1247-N1247+P1247</f>
        <v>71.180000000000007</v>
      </c>
      <c r="R1247" s="3"/>
      <c r="S1247" s="3">
        <v>65.19</v>
      </c>
      <c r="T1247" s="3">
        <v>5.7</v>
      </c>
      <c r="U1247" s="3"/>
      <c r="V1247" s="3"/>
      <c r="W1247" s="3">
        <v>6.52</v>
      </c>
      <c r="X1247" s="2">
        <f>+S1247+T1247+V1247-W1247</f>
        <v>64.37</v>
      </c>
      <c r="Y1247" s="6">
        <f>+Q1247-X1247</f>
        <v>6.8100000000000023</v>
      </c>
      <c r="Z1247" s="6">
        <f>+Y1247</f>
        <v>6.8100000000000023</v>
      </c>
      <c r="AA1247" s="2"/>
      <c r="AB1247" s="2"/>
      <c r="AC1247" s="3"/>
      <c r="AD1247" s="2"/>
      <c r="AE1247" s="2"/>
      <c r="AF1247" s="2"/>
      <c r="AG1247" s="2" t="s">
        <v>1219</v>
      </c>
      <c r="AH1247" s="2" t="s">
        <v>1218</v>
      </c>
      <c r="AI1247" s="2" t="s">
        <v>1217</v>
      </c>
      <c r="AJ1247" s="2"/>
      <c r="AK1247" s="2" t="s">
        <v>1239</v>
      </c>
      <c r="AL1247" s="2" t="s">
        <v>4262</v>
      </c>
      <c r="AM1247" s="2"/>
      <c r="AN1247" s="2"/>
      <c r="AO1247" s="2" t="s">
        <v>1238</v>
      </c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</row>
    <row r="1248" spans="3:58">
      <c r="C1248" s="1">
        <v>43758</v>
      </c>
      <c r="E1248" s="2" t="s">
        <v>1220</v>
      </c>
      <c r="F1248" s="2"/>
      <c r="G1248" s="2" t="s">
        <v>1234</v>
      </c>
      <c r="H1248" s="2" t="s">
        <v>1235</v>
      </c>
      <c r="I1248" s="2"/>
      <c r="J1248" s="2">
        <v>1</v>
      </c>
      <c r="K1248" s="2"/>
      <c r="L1248" s="3">
        <v>57.36</v>
      </c>
      <c r="M1248" s="3">
        <v>5.73</v>
      </c>
      <c r="N1248" s="3">
        <v>3</v>
      </c>
      <c r="O1248" s="3"/>
      <c r="P1248" s="3">
        <v>4.0199999999999996</v>
      </c>
      <c r="Q1248" s="6">
        <f>+L1248-M1248-N1248+P1248</f>
        <v>52.649999999999991</v>
      </c>
      <c r="R1248" s="3"/>
      <c r="S1248" s="3">
        <v>42.95</v>
      </c>
      <c r="T1248" s="3"/>
      <c r="U1248" s="3"/>
      <c r="V1248" s="3"/>
      <c r="W1248" s="3"/>
      <c r="X1248" s="2">
        <f>+S1248+T1248+V1248-W1248</f>
        <v>42.95</v>
      </c>
      <c r="Y1248" s="6">
        <f>+Q1248-X1248</f>
        <v>9.6999999999999886</v>
      </c>
      <c r="Z1248" s="2"/>
      <c r="AA1248" s="2"/>
      <c r="AB1248" s="2"/>
      <c r="AC1248" s="3"/>
      <c r="AD1248" s="2"/>
      <c r="AE1248" s="2"/>
      <c r="AF1248" s="2"/>
      <c r="AG1248" s="2" t="s">
        <v>1237</v>
      </c>
      <c r="AH1248" s="2">
        <v>991290160</v>
      </c>
      <c r="AI1248" s="2" t="s">
        <v>1236</v>
      </c>
      <c r="AJ1248" s="2"/>
      <c r="AK1248" s="2"/>
      <c r="AL1248" s="2" t="s">
        <v>4262</v>
      </c>
      <c r="AM1248" s="2"/>
      <c r="AN1248" s="2"/>
      <c r="AO1248" s="2" t="s">
        <v>1233</v>
      </c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</row>
    <row r="1249" spans="3:58">
      <c r="E1249" s="2"/>
      <c r="F1249" s="2"/>
      <c r="G1249" s="2"/>
      <c r="H1249" s="2"/>
      <c r="I1249" s="2"/>
      <c r="J1249" s="2"/>
      <c r="K1249" s="2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 t="s">
        <v>1210</v>
      </c>
      <c r="Y1249" s="3"/>
      <c r="Z1249" s="2"/>
      <c r="AA1249" s="2"/>
      <c r="AB1249" s="2"/>
      <c r="AC1249" s="3"/>
      <c r="AD1249" s="2"/>
      <c r="AE1249" s="2"/>
      <c r="AF1249" s="2"/>
      <c r="AG1249" s="2"/>
      <c r="AH1249" s="2"/>
      <c r="AI1249" s="2"/>
      <c r="AJ1249" s="2"/>
      <c r="AK1249" s="2"/>
      <c r="AL1249" s="2" t="s">
        <v>4263</v>
      </c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</row>
    <row r="1250" spans="3:58">
      <c r="C1250" s="1">
        <v>43757</v>
      </c>
      <c r="E1250" s="5" t="s">
        <v>1209</v>
      </c>
      <c r="F1250" s="5"/>
      <c r="G1250" s="2"/>
      <c r="H1250" s="2"/>
      <c r="I1250" s="2"/>
      <c r="J1250" s="2"/>
      <c r="K1250" s="2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2"/>
      <c r="AA1250" s="2"/>
      <c r="AB1250" s="2"/>
      <c r="AC1250" s="3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</row>
    <row r="1251" spans="3:58">
      <c r="E1251" s="2"/>
      <c r="F1251" s="2"/>
      <c r="G1251" s="2"/>
      <c r="H1251" s="2"/>
      <c r="I1251" s="2"/>
      <c r="J1251" s="2"/>
      <c r="K1251" s="2"/>
      <c r="L1251" s="3"/>
      <c r="M1251" s="3"/>
      <c r="N1251" s="3"/>
      <c r="O1251" s="3"/>
      <c r="P1251" s="3"/>
      <c r="Q1251" s="3" t="s">
        <v>1210</v>
      </c>
      <c r="R1251" s="3"/>
      <c r="S1251" s="3"/>
      <c r="T1251" s="3"/>
      <c r="U1251" s="3"/>
      <c r="V1251" s="3"/>
      <c r="W1251" s="3"/>
      <c r="X1251" s="3"/>
      <c r="Y1251" s="3"/>
      <c r="Z1251" s="2"/>
      <c r="AA1251" s="2"/>
      <c r="AB1251" s="2"/>
      <c r="AC1251" s="3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</row>
    <row r="1252" spans="3:58">
      <c r="C1252" s="1">
        <v>43756</v>
      </c>
      <c r="E1252" s="2" t="s">
        <v>1169</v>
      </c>
      <c r="F1252" s="2"/>
      <c r="G1252" s="2" t="s">
        <v>1227</v>
      </c>
      <c r="H1252" s="2" t="s">
        <v>1226</v>
      </c>
      <c r="I1252" s="2"/>
      <c r="J1252" s="2">
        <v>1</v>
      </c>
      <c r="K1252" s="2"/>
      <c r="L1252" s="3">
        <v>53.5</v>
      </c>
      <c r="M1252" s="3">
        <v>5.35</v>
      </c>
      <c r="N1252" s="3">
        <v>2.65</v>
      </c>
      <c r="O1252" s="3"/>
      <c r="P1252" s="3"/>
      <c r="Q1252" s="6">
        <f>+L1252-M1252-N1252+P1252</f>
        <v>45.5</v>
      </c>
      <c r="R1252" s="3"/>
      <c r="S1252" s="3">
        <v>39.99</v>
      </c>
      <c r="T1252" s="3"/>
      <c r="U1252" s="3"/>
      <c r="V1252" s="3"/>
      <c r="W1252" s="3"/>
      <c r="X1252" s="2">
        <f>+S1252+T1252+V1252-W1252</f>
        <v>39.99</v>
      </c>
      <c r="Y1252" s="6">
        <f>+Q1252-X1252</f>
        <v>5.509999999999998</v>
      </c>
      <c r="Z1252" s="2"/>
      <c r="AA1252" s="2"/>
      <c r="AB1252" s="2"/>
      <c r="AC1252" s="3"/>
      <c r="AD1252" s="2"/>
      <c r="AE1252" s="2"/>
      <c r="AF1252" s="2"/>
      <c r="AG1252" s="2" t="s">
        <v>1230</v>
      </c>
      <c r="AH1252" s="2" t="s">
        <v>1229</v>
      </c>
      <c r="AI1252" s="2" t="s">
        <v>1228</v>
      </c>
      <c r="AJ1252" s="2"/>
      <c r="AK1252" s="2" t="s">
        <v>1232</v>
      </c>
      <c r="AL1252" s="2"/>
      <c r="AM1252" s="2"/>
      <c r="AN1252" s="2"/>
      <c r="AO1252" s="10" t="s">
        <v>1231</v>
      </c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</row>
    <row r="1253" spans="3:58">
      <c r="C1253" s="1">
        <v>43756</v>
      </c>
      <c r="E1253" s="2" t="s">
        <v>1220</v>
      </c>
      <c r="F1253" s="2"/>
      <c r="G1253" s="2" t="s">
        <v>1221</v>
      </c>
      <c r="H1253" s="2" t="s">
        <v>1222</v>
      </c>
      <c r="I1253" s="2"/>
      <c r="J1253" s="2">
        <v>1</v>
      </c>
      <c r="K1253" s="2"/>
      <c r="L1253" s="3">
        <v>56.96</v>
      </c>
      <c r="M1253" s="3">
        <v>5.69</v>
      </c>
      <c r="N1253" s="3">
        <v>2.81</v>
      </c>
      <c r="O1253" s="3"/>
      <c r="P1253" s="3"/>
      <c r="Q1253" s="6">
        <f>+L1253-M1253-N1253+P1253</f>
        <v>48.46</v>
      </c>
      <c r="R1253" s="3"/>
      <c r="S1253" s="3">
        <v>42.95</v>
      </c>
      <c r="T1253" s="3">
        <v>3.54</v>
      </c>
      <c r="U1253" s="3"/>
      <c r="V1253" s="3"/>
      <c r="W1253" s="3"/>
      <c r="X1253" s="2">
        <f>+S1253+T1253+V1253-W1253</f>
        <v>46.49</v>
      </c>
      <c r="Y1253" s="6">
        <f>+Q1253-X1253</f>
        <v>1.9699999999999989</v>
      </c>
      <c r="Z1253" s="2"/>
      <c r="AA1253" s="2"/>
      <c r="AB1253" s="2"/>
      <c r="AC1253" s="3"/>
      <c r="AD1253" s="2"/>
      <c r="AE1253" s="2"/>
      <c r="AF1253" s="2"/>
      <c r="AG1253" s="2" t="s">
        <v>1225</v>
      </c>
      <c r="AH1253" s="2" t="s">
        <v>1224</v>
      </c>
      <c r="AI1253" s="2" t="s">
        <v>1223</v>
      </c>
      <c r="AJ1253" s="2"/>
      <c r="AK1253" s="2" t="s">
        <v>1232</v>
      </c>
      <c r="AL1253" s="2"/>
      <c r="AM1253" s="2"/>
      <c r="AN1253" s="2"/>
      <c r="AO1253" s="2" t="s">
        <v>1233</v>
      </c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</row>
    <row r="1254" spans="3:58">
      <c r="E1254" s="2"/>
      <c r="F1254" s="2"/>
      <c r="G1254" s="2"/>
      <c r="H1254" s="2"/>
      <c r="I1254" s="2"/>
      <c r="J1254" s="2"/>
      <c r="K1254" s="2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 t="s">
        <v>1210</v>
      </c>
      <c r="Y1254" s="3"/>
      <c r="Z1254" s="2"/>
      <c r="AA1254" s="2"/>
      <c r="AB1254" s="2"/>
      <c r="AC1254" s="3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</row>
    <row r="1255" spans="3:58">
      <c r="C1255" s="1">
        <v>43755</v>
      </c>
      <c r="E1255" s="5" t="s">
        <v>1209</v>
      </c>
      <c r="F1255" s="5"/>
      <c r="G1255" s="2"/>
      <c r="H1255" s="2"/>
      <c r="I1255" s="2"/>
      <c r="J1255" s="2"/>
      <c r="K1255" s="2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2"/>
      <c r="AA1255" s="2"/>
      <c r="AB1255" s="2"/>
      <c r="AC1255" s="3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</row>
    <row r="1256" spans="3:58">
      <c r="C1256" s="1">
        <v>43754</v>
      </c>
      <c r="E1256" s="5" t="s">
        <v>1209</v>
      </c>
      <c r="F1256" s="5"/>
      <c r="G1256" s="2"/>
      <c r="H1256" s="2"/>
      <c r="I1256" s="2"/>
      <c r="J1256" s="2"/>
      <c r="K1256" s="2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2"/>
      <c r="AA1256" s="2"/>
      <c r="AB1256" s="2"/>
      <c r="AC1256" s="3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</row>
    <row r="1257" spans="3:58">
      <c r="E1257" s="2"/>
      <c r="F1257" s="2"/>
      <c r="G1257" s="2"/>
      <c r="H1257" s="2"/>
      <c r="I1257" s="2"/>
      <c r="J1257" s="2"/>
      <c r="K1257" s="2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2"/>
      <c r="AA1257" s="2"/>
      <c r="AB1257" s="2"/>
      <c r="AC1257" s="3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</row>
    <row r="1258" spans="3:58">
      <c r="C1258" s="1">
        <v>43753</v>
      </c>
      <c r="E1258" s="2" t="s">
        <v>1204</v>
      </c>
      <c r="F1258" s="2"/>
      <c r="G1258" s="2" t="s">
        <v>1205</v>
      </c>
      <c r="H1258" s="2" t="s">
        <v>1206</v>
      </c>
      <c r="I1258" s="2"/>
      <c r="J1258" s="2">
        <v>1</v>
      </c>
      <c r="K1258" s="2"/>
      <c r="L1258" s="3">
        <v>83.5</v>
      </c>
      <c r="M1258" s="3">
        <v>8.35</v>
      </c>
      <c r="N1258" s="3">
        <v>3.97</v>
      </c>
      <c r="O1258" s="3"/>
      <c r="P1258" s="3"/>
      <c r="Q1258" s="6">
        <f>+L1258-M1258-N1258+P1258</f>
        <v>71.180000000000007</v>
      </c>
      <c r="R1258" s="3"/>
      <c r="S1258" s="3">
        <v>65.19</v>
      </c>
      <c r="T1258" s="3">
        <v>6.03</v>
      </c>
      <c r="U1258" s="3"/>
      <c r="V1258" s="3"/>
      <c r="W1258" s="3">
        <v>6.52</v>
      </c>
      <c r="X1258" s="2">
        <f>+S1258+T1258+V1258-W1258</f>
        <v>64.7</v>
      </c>
      <c r="Y1258" s="6">
        <f>+Q1258-X1258</f>
        <v>6.480000000000004</v>
      </c>
      <c r="Z1258" s="6">
        <f>+Y1258</f>
        <v>6.480000000000004</v>
      </c>
      <c r="AA1258" s="2"/>
      <c r="AB1258" s="2"/>
      <c r="AC1258" s="3"/>
      <c r="AD1258" s="2"/>
      <c r="AE1258" s="2"/>
      <c r="AF1258" s="2"/>
      <c r="AG1258" s="2" t="s">
        <v>1185</v>
      </c>
      <c r="AH1258" s="2" t="s">
        <v>1208</v>
      </c>
      <c r="AI1258" s="2" t="s">
        <v>1207</v>
      </c>
      <c r="AJ1258" s="2"/>
      <c r="AK1258" s="2"/>
      <c r="AL1258" s="2"/>
      <c r="AM1258" s="2" t="s">
        <v>1153</v>
      </c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</row>
    <row r="1259" spans="3:58">
      <c r="E1259" s="2"/>
      <c r="F1259" s="2"/>
      <c r="G1259" s="2"/>
      <c r="H1259" s="2"/>
      <c r="I1259" s="2"/>
      <c r="J1259" s="2"/>
      <c r="K1259" s="2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2"/>
      <c r="AA1259" s="2"/>
      <c r="AB1259" s="2"/>
      <c r="AC1259" s="3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</row>
    <row r="1260" spans="3:58">
      <c r="C1260" s="1">
        <v>43752</v>
      </c>
      <c r="E1260" s="2" t="s">
        <v>1187</v>
      </c>
      <c r="F1260" s="2"/>
      <c r="G1260" s="2" t="s">
        <v>1196</v>
      </c>
      <c r="H1260" s="2" t="s">
        <v>1197</v>
      </c>
      <c r="I1260" s="2"/>
      <c r="J1260" s="2">
        <v>1</v>
      </c>
      <c r="K1260" s="2"/>
      <c r="L1260" s="3">
        <v>82.5</v>
      </c>
      <c r="M1260" s="3">
        <v>8.25</v>
      </c>
      <c r="N1260" s="3">
        <v>3.93</v>
      </c>
      <c r="O1260" s="3"/>
      <c r="P1260" s="3"/>
      <c r="Q1260" s="6">
        <f>+L1260-M1260-N1260+P1260</f>
        <v>70.319999999999993</v>
      </c>
      <c r="R1260" s="3"/>
      <c r="S1260" s="3">
        <v>66.95</v>
      </c>
      <c r="T1260" s="3"/>
      <c r="U1260" s="3"/>
      <c r="V1260" s="3"/>
      <c r="W1260" s="3"/>
      <c r="X1260" s="3"/>
      <c r="Y1260" s="3"/>
      <c r="Z1260" s="2"/>
      <c r="AA1260" s="2"/>
      <c r="AB1260" s="2"/>
      <c r="AC1260" s="3"/>
      <c r="AD1260" s="2"/>
      <c r="AE1260" s="2"/>
      <c r="AF1260" s="2"/>
      <c r="AG1260" s="2" t="s">
        <v>1200</v>
      </c>
      <c r="AH1260" s="2" t="s">
        <v>1199</v>
      </c>
      <c r="AI1260" s="2" t="s">
        <v>1198</v>
      </c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</row>
    <row r="1261" spans="3:58">
      <c r="C1261" s="1">
        <v>43752</v>
      </c>
      <c r="E1261" s="2" t="s">
        <v>1189</v>
      </c>
      <c r="F1261" s="2"/>
      <c r="G1261" s="2" t="s">
        <v>1190</v>
      </c>
      <c r="H1261" s="2" t="s">
        <v>1191</v>
      </c>
      <c r="I1261" s="2"/>
      <c r="J1261" s="2">
        <v>1</v>
      </c>
      <c r="K1261" s="2"/>
      <c r="L1261" s="3">
        <v>12.9</v>
      </c>
      <c r="M1261" s="3">
        <v>1.29</v>
      </c>
      <c r="N1261" s="3">
        <v>0.91</v>
      </c>
      <c r="O1261" s="3"/>
      <c r="P1261" s="3">
        <v>0.9</v>
      </c>
      <c r="Q1261" s="6">
        <f>+L1261-M1261-N1261+P1261</f>
        <v>11.6</v>
      </c>
      <c r="R1261" s="3"/>
      <c r="S1261" s="3">
        <v>10.99</v>
      </c>
      <c r="T1261" s="3">
        <v>0.77</v>
      </c>
      <c r="U1261" s="3"/>
      <c r="V1261" s="3"/>
      <c r="W1261" s="3"/>
      <c r="X1261" s="2">
        <f>+S1261+T1261+V1261-W1261</f>
        <v>11.76</v>
      </c>
      <c r="Y1261" s="6">
        <f>+Q1261-X1261</f>
        <v>-0.16000000000000014</v>
      </c>
      <c r="Z1261" s="2"/>
      <c r="AA1261" s="2"/>
      <c r="AB1261" s="2"/>
      <c r="AC1261" s="3"/>
      <c r="AD1261" s="2"/>
      <c r="AE1261" s="2"/>
      <c r="AF1261" s="2"/>
      <c r="AG1261" s="2" t="s">
        <v>1194</v>
      </c>
      <c r="AH1261" s="2" t="s">
        <v>1193</v>
      </c>
      <c r="AI1261" s="2" t="s">
        <v>1192</v>
      </c>
      <c r="AJ1261" s="2"/>
      <c r="AK1261" s="2"/>
      <c r="AL1261" s="2"/>
      <c r="AM1261" s="2" t="s">
        <v>1161</v>
      </c>
      <c r="AN1261" s="2"/>
      <c r="AO1261" s="2" t="s">
        <v>1195</v>
      </c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</row>
    <row r="1262" spans="3:58">
      <c r="E1262" s="2"/>
      <c r="F1262" s="2"/>
      <c r="G1262" s="2"/>
      <c r="H1262" s="2"/>
      <c r="I1262" s="2"/>
      <c r="J1262" s="2"/>
      <c r="K1262" s="2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2"/>
      <c r="AA1262" s="2"/>
      <c r="AB1262" s="2"/>
      <c r="AC1262" s="3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</row>
    <row r="1263" spans="3:58">
      <c r="C1263" s="1">
        <v>43751</v>
      </c>
      <c r="E1263" s="2" t="s">
        <v>1169</v>
      </c>
      <c r="F1263" s="2"/>
      <c r="G1263" s="2" t="s">
        <v>1170</v>
      </c>
      <c r="H1263" s="2" t="s">
        <v>1171</v>
      </c>
      <c r="I1263" s="2"/>
      <c r="J1263" s="2">
        <v>1</v>
      </c>
      <c r="K1263" s="2"/>
      <c r="L1263" s="3">
        <v>53.5</v>
      </c>
      <c r="M1263" s="3">
        <v>5.35</v>
      </c>
      <c r="N1263" s="3">
        <v>2.65</v>
      </c>
      <c r="O1263" s="3"/>
      <c r="P1263" s="3"/>
      <c r="Q1263" s="6">
        <f>+L1263-M1263-N1263+P1263</f>
        <v>45.5</v>
      </c>
      <c r="R1263" s="3"/>
      <c r="S1263" s="3"/>
      <c r="T1263" s="3"/>
      <c r="U1263" s="3"/>
      <c r="V1263" s="3"/>
      <c r="W1263" s="3"/>
      <c r="X1263" s="3"/>
      <c r="Y1263" s="3"/>
      <c r="Z1263" s="2"/>
      <c r="AA1263" s="2"/>
      <c r="AB1263" s="2"/>
      <c r="AC1263" s="3"/>
      <c r="AD1263" s="2"/>
      <c r="AE1263" s="2"/>
      <c r="AF1263" s="2"/>
      <c r="AG1263" s="2" t="s">
        <v>1174</v>
      </c>
      <c r="AH1263" s="2" t="s">
        <v>1173</v>
      </c>
      <c r="AI1263" s="2" t="s">
        <v>1172</v>
      </c>
      <c r="AJ1263" s="2"/>
      <c r="AK1263" s="2"/>
      <c r="AL1263" s="2"/>
      <c r="AM1263" s="2" t="s">
        <v>1153</v>
      </c>
      <c r="AN1263" s="2"/>
      <c r="AO1263" s="10" t="s">
        <v>1188</v>
      </c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</row>
    <row r="1264" spans="3:58">
      <c r="C1264" s="1">
        <v>43751</v>
      </c>
      <c r="E1264" s="2" t="s">
        <v>1163</v>
      </c>
      <c r="F1264" s="2"/>
      <c r="G1264" s="2" t="s">
        <v>1164</v>
      </c>
      <c r="H1264" s="2" t="s">
        <v>1165</v>
      </c>
      <c r="I1264" s="2"/>
      <c r="J1264" s="2">
        <v>1</v>
      </c>
      <c r="K1264" s="2"/>
      <c r="L1264" s="3">
        <v>16.899999999999999</v>
      </c>
      <c r="M1264" s="3">
        <v>1.69</v>
      </c>
      <c r="N1264" s="3">
        <v>1.04</v>
      </c>
      <c r="O1264" s="3"/>
      <c r="P1264" s="3"/>
      <c r="Q1264" s="6">
        <f>+L1264-M1264-N1264+P1264</f>
        <v>14.169999999999998</v>
      </c>
      <c r="R1264" s="3"/>
      <c r="S1264" s="3">
        <v>12.39</v>
      </c>
      <c r="T1264" s="3">
        <v>0.99</v>
      </c>
      <c r="U1264" s="3"/>
      <c r="V1264" s="3"/>
      <c r="W1264" s="3"/>
      <c r="X1264" s="2">
        <f>+S1264+T1264+V1264-W1264</f>
        <v>13.38</v>
      </c>
      <c r="Y1264" s="6">
        <f>+Q1264-X1264</f>
        <v>0.78999999999999737</v>
      </c>
      <c r="Z1264" s="2"/>
      <c r="AA1264" s="2"/>
      <c r="AB1264" s="2"/>
      <c r="AC1264" s="3"/>
      <c r="AD1264" s="2"/>
      <c r="AE1264" s="2"/>
      <c r="AF1264" s="2"/>
      <c r="AG1264" s="2" t="s">
        <v>1168</v>
      </c>
      <c r="AH1264" s="2" t="s">
        <v>1167</v>
      </c>
      <c r="AI1264" s="2" t="s">
        <v>1166</v>
      </c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</row>
    <row r="1265" spans="3:58">
      <c r="E1265" s="2"/>
      <c r="F1265" s="2"/>
      <c r="G1265" s="2"/>
      <c r="H1265" s="2"/>
      <c r="I1265" s="2"/>
      <c r="J1265" s="2"/>
      <c r="K1265" s="2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2"/>
      <c r="AA1265" s="2"/>
      <c r="AB1265" s="2"/>
      <c r="AC1265" s="3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</row>
    <row r="1266" spans="3:58">
      <c r="C1266" s="1">
        <v>43750</v>
      </c>
      <c r="E1266" s="2" t="s">
        <v>1175</v>
      </c>
      <c r="F1266" s="2"/>
      <c r="G1266" s="2" t="s">
        <v>1176</v>
      </c>
      <c r="H1266" s="2" t="s">
        <v>1177</v>
      </c>
      <c r="I1266" s="2"/>
      <c r="J1266" s="2">
        <v>1</v>
      </c>
      <c r="K1266" s="2"/>
      <c r="L1266" s="3">
        <v>57.96</v>
      </c>
      <c r="M1266" s="3">
        <v>5.79</v>
      </c>
      <c r="N1266" s="3">
        <v>2.86</v>
      </c>
      <c r="O1266" s="3"/>
      <c r="P1266" s="3"/>
      <c r="Q1266" s="6">
        <f>+L1266-M1266-N1266+P1266</f>
        <v>49.31</v>
      </c>
      <c r="R1266" s="3"/>
      <c r="S1266" s="3"/>
      <c r="T1266" s="3"/>
      <c r="U1266" s="3"/>
      <c r="V1266" s="3"/>
      <c r="W1266" s="3"/>
      <c r="X1266" s="3"/>
      <c r="Y1266" s="3"/>
      <c r="Z1266" s="2"/>
      <c r="AA1266" s="2"/>
      <c r="AB1266" s="2"/>
      <c r="AC1266" s="3"/>
      <c r="AD1266" s="2"/>
      <c r="AE1266" s="2"/>
      <c r="AF1266" s="2"/>
      <c r="AG1266" s="2" t="s">
        <v>1174</v>
      </c>
      <c r="AH1266" s="2" t="s">
        <v>1179</v>
      </c>
      <c r="AI1266" s="2" t="s">
        <v>1178</v>
      </c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</row>
    <row r="1267" spans="3:58">
      <c r="C1267" s="1">
        <v>43750</v>
      </c>
      <c r="E1267" s="2" t="s">
        <v>1180</v>
      </c>
      <c r="F1267" s="2"/>
      <c r="G1267" s="2" t="s">
        <v>1181</v>
      </c>
      <c r="H1267" s="2" t="s">
        <v>1182</v>
      </c>
      <c r="I1267" s="2"/>
      <c r="J1267" s="2">
        <v>1</v>
      </c>
      <c r="K1267" s="2"/>
      <c r="L1267" s="3">
        <v>12.35</v>
      </c>
      <c r="M1267" s="3">
        <v>1.23</v>
      </c>
      <c r="N1267" s="3">
        <v>0.84</v>
      </c>
      <c r="O1267" s="3"/>
      <c r="P1267" s="3"/>
      <c r="Q1267" s="6">
        <f>+L1267-M1267-N1267+P1267</f>
        <v>10.28</v>
      </c>
      <c r="R1267" s="3"/>
      <c r="S1267" s="3">
        <v>7.99</v>
      </c>
      <c r="T1267" s="3">
        <v>0.64</v>
      </c>
      <c r="U1267" s="3"/>
      <c r="V1267" s="3"/>
      <c r="W1267" s="3"/>
      <c r="X1267" s="2">
        <f>+S1267+T1267+V1267-W1267</f>
        <v>8.6300000000000008</v>
      </c>
      <c r="Y1267" s="6">
        <f>+Q1267-X1267</f>
        <v>1.6499999999999986</v>
      </c>
      <c r="Z1267" s="2"/>
      <c r="AA1267" s="2"/>
      <c r="AB1267" s="2"/>
      <c r="AC1267" s="3"/>
      <c r="AD1267" s="2"/>
      <c r="AE1267" s="2"/>
      <c r="AF1267" s="2"/>
      <c r="AG1267" s="2" t="s">
        <v>1185</v>
      </c>
      <c r="AH1267" s="2" t="s">
        <v>1184</v>
      </c>
      <c r="AI1267" s="2" t="s">
        <v>1183</v>
      </c>
      <c r="AJ1267" s="2"/>
      <c r="AK1267" s="2"/>
      <c r="AL1267" s="2"/>
      <c r="AM1267" s="2" t="s">
        <v>1153</v>
      </c>
      <c r="AN1267" s="2"/>
      <c r="AO1267" s="2" t="s">
        <v>1186</v>
      </c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</row>
    <row r="1268" spans="3:58">
      <c r="E1268" s="2"/>
      <c r="F1268" s="2"/>
      <c r="G1268" s="2"/>
      <c r="H1268" s="2"/>
      <c r="I1268" s="2"/>
      <c r="J1268" s="2"/>
      <c r="K1268" s="2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2"/>
      <c r="AA1268" s="2"/>
      <c r="AB1268" s="2"/>
      <c r="AC1268" s="3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</row>
    <row r="1269" spans="3:58">
      <c r="C1269" s="1">
        <v>43749</v>
      </c>
      <c r="E1269" s="5" t="s">
        <v>1209</v>
      </c>
      <c r="F1269" s="5"/>
      <c r="G1269" s="2"/>
      <c r="H1269" s="2"/>
      <c r="I1269" s="2"/>
      <c r="J1269" s="2"/>
      <c r="K1269" s="2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2"/>
      <c r="AA1269" s="2"/>
      <c r="AB1269" s="2"/>
      <c r="AC1269" s="3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</row>
    <row r="1270" spans="3:58">
      <c r="E1270" s="2"/>
      <c r="F1270" s="2"/>
      <c r="G1270" s="2"/>
      <c r="H1270" s="2"/>
      <c r="I1270" s="2"/>
      <c r="J1270" s="2"/>
      <c r="K1270" s="2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2"/>
      <c r="AA1270" s="2"/>
      <c r="AB1270" s="2"/>
      <c r="AC1270" s="3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</row>
    <row r="1271" spans="3:58">
      <c r="C1271" s="1">
        <v>43748</v>
      </c>
      <c r="E1271" s="2" t="s">
        <v>61</v>
      </c>
      <c r="F1271" s="2"/>
      <c r="G1271" s="2" t="s">
        <v>1075</v>
      </c>
      <c r="H1271" s="2" t="s">
        <v>3412</v>
      </c>
      <c r="I1271" s="2"/>
      <c r="J1271" s="2">
        <v>1</v>
      </c>
      <c r="K1271" s="2"/>
      <c r="L1271" s="3">
        <v>35.799999999999997</v>
      </c>
      <c r="M1271" s="3">
        <v>3.58</v>
      </c>
      <c r="N1271" s="3">
        <v>2.02</v>
      </c>
      <c r="O1271" s="3"/>
      <c r="P1271" s="3">
        <v>3.22</v>
      </c>
      <c r="Q1271" s="6">
        <f>+L1271-M1271-N1271+P1271</f>
        <v>33.42</v>
      </c>
      <c r="R1271" s="3"/>
      <c r="S1271" s="3">
        <v>25.98</v>
      </c>
      <c r="T1271" s="3">
        <v>1.75</v>
      </c>
      <c r="U1271" s="3"/>
      <c r="V1271" s="3">
        <v>0</v>
      </c>
      <c r="W1271" s="3"/>
      <c r="X1271" s="2">
        <f>+S1271+T1271+V1271-W1271</f>
        <v>27.73</v>
      </c>
      <c r="Y1271" s="6">
        <f>+Q1271-X1271</f>
        <v>5.6900000000000013</v>
      </c>
      <c r="Z1271" s="2"/>
      <c r="AA1271" s="2"/>
      <c r="AB1271" s="2"/>
      <c r="AC1271" s="3"/>
      <c r="AD1271" s="2"/>
      <c r="AE1271" s="2"/>
      <c r="AF1271" s="2"/>
      <c r="AG1271" s="2" t="s">
        <v>1162</v>
      </c>
      <c r="AH1271" s="2" t="s">
        <v>1078</v>
      </c>
      <c r="AI1271" s="2" t="s">
        <v>1077</v>
      </c>
      <c r="AJ1271" s="2"/>
      <c r="AK1271" s="2"/>
      <c r="AL1271" s="2"/>
      <c r="AM1271" s="2" t="s">
        <v>1161</v>
      </c>
      <c r="AN1271" s="2"/>
      <c r="AO1271" s="10" t="s">
        <v>1160</v>
      </c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</row>
    <row r="1272" spans="3:58">
      <c r="C1272" s="1">
        <v>43748</v>
      </c>
      <c r="E1272" s="2" t="s">
        <v>1159</v>
      </c>
      <c r="F1272" s="2"/>
      <c r="G1272" s="2" t="s">
        <v>1157</v>
      </c>
      <c r="H1272" s="2" t="s">
        <v>1158</v>
      </c>
      <c r="I1272" s="2"/>
      <c r="J1272" s="2">
        <v>1</v>
      </c>
      <c r="K1272" s="2"/>
      <c r="L1272" s="3">
        <v>83.5</v>
      </c>
      <c r="M1272" s="3">
        <v>8.35</v>
      </c>
      <c r="N1272" s="3">
        <v>3.97</v>
      </c>
      <c r="O1272" s="3"/>
      <c r="P1272" s="3"/>
      <c r="Q1272" s="6">
        <f>+L1272-M1272-N1272+P1272</f>
        <v>71.180000000000007</v>
      </c>
      <c r="R1272" s="3"/>
      <c r="S1272" s="3">
        <v>65.19</v>
      </c>
      <c r="T1272" s="3">
        <v>3.91</v>
      </c>
      <c r="U1272" s="3"/>
      <c r="V1272" s="3"/>
      <c r="W1272" s="3">
        <v>6.52</v>
      </c>
      <c r="X1272" s="2">
        <f>+S1272+T1272+V1272-W1272</f>
        <v>62.58</v>
      </c>
      <c r="Y1272" s="6">
        <f>+Q1272-X1272</f>
        <v>8.6000000000000085</v>
      </c>
      <c r="Z1272" s="6">
        <f>+Y1272</f>
        <v>8.6000000000000085</v>
      </c>
      <c r="AA1272" s="2"/>
      <c r="AB1272" s="2"/>
      <c r="AC1272" s="3"/>
      <c r="AD1272" s="2"/>
      <c r="AE1272" s="2"/>
      <c r="AF1272" s="2"/>
      <c r="AG1272" s="2" t="s">
        <v>1154</v>
      </c>
      <c r="AH1272" s="2" t="s">
        <v>1156</v>
      </c>
      <c r="AI1272" s="2" t="s">
        <v>1155</v>
      </c>
      <c r="AJ1272" s="2"/>
      <c r="AK1272" s="2"/>
      <c r="AL1272" s="2"/>
      <c r="AM1272" s="2" t="s">
        <v>1153</v>
      </c>
      <c r="AN1272" s="2"/>
      <c r="AO1272" s="2" t="s">
        <v>1152</v>
      </c>
      <c r="AP1272" s="2" t="s">
        <v>1203</v>
      </c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</row>
    <row r="1273" spans="3:58">
      <c r="E1273" s="2"/>
      <c r="F1273" s="2"/>
      <c r="G1273" s="2"/>
      <c r="H1273" s="2"/>
      <c r="I1273" s="2"/>
      <c r="J1273" s="2"/>
      <c r="K1273" s="2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2"/>
      <c r="AA1273" s="2"/>
      <c r="AB1273" s="2"/>
      <c r="AC1273" s="3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</row>
    <row r="1274" spans="3:58">
      <c r="C1274" s="1">
        <v>43746</v>
      </c>
      <c r="E1274" s="2" t="s">
        <v>1146</v>
      </c>
      <c r="F1274" s="2"/>
      <c r="G1274" s="2" t="s">
        <v>1146</v>
      </c>
      <c r="H1274" s="2" t="s">
        <v>1147</v>
      </c>
      <c r="I1274" s="2"/>
      <c r="J1274" s="2">
        <v>1</v>
      </c>
      <c r="K1274" s="2"/>
      <c r="L1274" s="3">
        <v>31.5</v>
      </c>
      <c r="M1274" s="3">
        <v>3.15</v>
      </c>
      <c r="N1274" s="3">
        <v>1.69</v>
      </c>
      <c r="O1274" s="3"/>
      <c r="P1274" s="3"/>
      <c r="Q1274" s="6">
        <f>+L1274-M1274-N1274+P1274</f>
        <v>26.66</v>
      </c>
      <c r="R1274" s="3"/>
      <c r="S1274" s="3">
        <v>20.49</v>
      </c>
      <c r="T1274" s="3"/>
      <c r="U1274" s="3"/>
      <c r="V1274" s="3"/>
      <c r="W1274" s="3"/>
      <c r="X1274" s="2">
        <f>+S1274+T1274+V1274-W1274</f>
        <v>20.49</v>
      </c>
      <c r="Y1274" s="6">
        <f>+Q1274-X1274</f>
        <v>6.1700000000000017</v>
      </c>
      <c r="Z1274" s="2"/>
      <c r="AA1274" s="2"/>
      <c r="AB1274" s="2"/>
      <c r="AC1274" s="3"/>
      <c r="AD1274" s="2"/>
      <c r="AE1274" s="2"/>
      <c r="AF1274" s="2"/>
      <c r="AG1274" s="2" t="s">
        <v>1150</v>
      </c>
      <c r="AH1274" s="2" t="s">
        <v>1149</v>
      </c>
      <c r="AI1274" s="2" t="s">
        <v>1148</v>
      </c>
      <c r="AJ1274" s="2"/>
      <c r="AK1274" s="2"/>
      <c r="AL1274" s="2"/>
      <c r="AM1274" s="2" t="s">
        <v>1145</v>
      </c>
      <c r="AN1274" s="2"/>
      <c r="AO1274" s="2" t="s">
        <v>1151</v>
      </c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</row>
    <row r="1275" spans="3:58">
      <c r="E1275" s="2"/>
      <c r="F1275" s="2"/>
      <c r="G1275" s="2"/>
      <c r="H1275" s="2"/>
      <c r="I1275" s="2"/>
      <c r="J1275" s="2"/>
      <c r="K1275" s="2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2"/>
      <c r="AA1275" s="2"/>
      <c r="AB1275" s="2"/>
      <c r="AC1275" s="3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</row>
    <row r="1276" spans="3:58">
      <c r="C1276" s="1">
        <v>43745</v>
      </c>
      <c r="E1276" s="2" t="s">
        <v>1134</v>
      </c>
      <c r="F1276" s="2"/>
      <c r="G1276" s="2" t="s">
        <v>1135</v>
      </c>
      <c r="H1276" s="2" t="s">
        <v>1136</v>
      </c>
      <c r="I1276" s="2"/>
      <c r="J1276" s="2">
        <v>1</v>
      </c>
      <c r="K1276" s="2"/>
      <c r="L1276" s="3">
        <v>83.5</v>
      </c>
      <c r="M1276" s="3">
        <v>8.35</v>
      </c>
      <c r="N1276" s="3">
        <v>4.2300000000000004</v>
      </c>
      <c r="O1276" s="3"/>
      <c r="P1276" s="3">
        <v>5.85</v>
      </c>
      <c r="Q1276" s="6">
        <f>+L1276-M1276-N1276+P1276</f>
        <v>76.77</v>
      </c>
      <c r="R1276" s="3"/>
      <c r="S1276" s="3">
        <v>65.19</v>
      </c>
      <c r="T1276" s="3"/>
      <c r="U1276" s="3"/>
      <c r="V1276" s="3"/>
      <c r="W1276" s="3">
        <v>6.52</v>
      </c>
      <c r="X1276" s="2">
        <f>+S1276+T1276+V1276-W1276</f>
        <v>58.67</v>
      </c>
      <c r="Y1276" s="6">
        <f>+Q1276-X1276</f>
        <v>18.099999999999994</v>
      </c>
      <c r="Z1276" s="6">
        <f>+Y1276</f>
        <v>18.099999999999994</v>
      </c>
      <c r="AA1276" s="2"/>
      <c r="AB1276" s="2"/>
      <c r="AC1276" s="3"/>
      <c r="AD1276" s="2"/>
      <c r="AE1276" s="2"/>
      <c r="AF1276" s="2"/>
      <c r="AG1276" s="2" t="s">
        <v>1119</v>
      </c>
      <c r="AH1276" s="2" t="s">
        <v>1138</v>
      </c>
      <c r="AI1276" s="2" t="s">
        <v>1137</v>
      </c>
      <c r="AJ1276" s="2"/>
      <c r="AK1276" s="2"/>
      <c r="AL1276" s="2"/>
      <c r="AM1276" s="2" t="s">
        <v>1145</v>
      </c>
      <c r="AN1276" s="2"/>
      <c r="AO1276" s="2" t="s">
        <v>1144</v>
      </c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</row>
    <row r="1277" spans="3:58">
      <c r="E1277" s="2"/>
      <c r="F1277" s="2"/>
      <c r="G1277" s="2"/>
      <c r="H1277" s="2"/>
      <c r="I1277" s="2"/>
      <c r="J1277" s="2"/>
      <c r="K1277" s="2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2"/>
      <c r="AA1277" s="2"/>
      <c r="AB1277" s="2"/>
      <c r="AC1277" s="3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</row>
    <row r="1278" spans="3:58">
      <c r="C1278" s="1">
        <v>43743</v>
      </c>
      <c r="E1278" s="2" t="s">
        <v>1133</v>
      </c>
      <c r="F1278" s="2"/>
      <c r="G1278" s="2" t="s">
        <v>1139</v>
      </c>
      <c r="H1278" s="2" t="s">
        <v>1140</v>
      </c>
      <c r="I1278" s="2"/>
      <c r="J1278" s="2">
        <v>1</v>
      </c>
      <c r="K1278" s="2"/>
      <c r="L1278" s="3">
        <v>29.5</v>
      </c>
      <c r="M1278" s="3">
        <v>2.95</v>
      </c>
      <c r="N1278" s="3">
        <v>1.69</v>
      </c>
      <c r="O1278" s="3"/>
      <c r="P1278" s="3">
        <v>2.0699999999999998</v>
      </c>
      <c r="Q1278" s="6">
        <f>+L1278-M1278-N1278+P1278</f>
        <v>26.93</v>
      </c>
      <c r="R1278" s="3"/>
      <c r="S1278" s="3">
        <v>32.9</v>
      </c>
      <c r="T1278" s="3"/>
      <c r="U1278" s="3"/>
      <c r="V1278" s="3"/>
      <c r="W1278" s="3"/>
      <c r="X1278" s="2">
        <f>+S1278+T1278+V1278-W1278</f>
        <v>32.9</v>
      </c>
      <c r="Y1278" s="6">
        <f>+Q1278-X1278</f>
        <v>-5.9699999999999989</v>
      </c>
      <c r="Z1278" s="2"/>
      <c r="AA1278" s="2"/>
      <c r="AB1278" s="2"/>
      <c r="AC1278" s="3"/>
      <c r="AD1278" s="2"/>
      <c r="AE1278" s="2"/>
      <c r="AF1278" s="2"/>
      <c r="AG1278" s="2" t="s">
        <v>1143</v>
      </c>
      <c r="AH1278" s="2" t="s">
        <v>1142</v>
      </c>
      <c r="AI1278" s="2" t="s">
        <v>1141</v>
      </c>
      <c r="AJ1278" s="2"/>
      <c r="AK1278" s="2"/>
      <c r="AL1278" s="2"/>
      <c r="AM1278" s="2" t="s">
        <v>1145</v>
      </c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</row>
    <row r="1279" spans="3:58">
      <c r="E1279" s="2"/>
      <c r="F1279" s="2"/>
      <c r="G1279" s="2"/>
      <c r="H1279" s="2"/>
      <c r="I1279" s="2"/>
      <c r="J1279" s="2"/>
      <c r="K1279" s="2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2"/>
      <c r="AA1279" s="2"/>
      <c r="AB1279" s="2"/>
      <c r="AC1279" s="3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</row>
    <row r="1280" spans="3:58">
      <c r="C1280" s="1">
        <v>43742</v>
      </c>
      <c r="E1280" s="2" t="s">
        <v>1107</v>
      </c>
      <c r="F1280" s="2"/>
      <c r="G1280" s="2" t="s">
        <v>1127</v>
      </c>
      <c r="H1280" s="2" t="s">
        <v>1128</v>
      </c>
      <c r="I1280" s="2"/>
      <c r="J1280" s="2">
        <v>1</v>
      </c>
      <c r="K1280" s="2"/>
      <c r="L1280" s="3">
        <v>12.6</v>
      </c>
      <c r="M1280" s="3">
        <v>1.26</v>
      </c>
      <c r="N1280" s="3">
        <v>0.91</v>
      </c>
      <c r="O1280" s="3"/>
      <c r="P1280" s="3">
        <v>1.26</v>
      </c>
      <c r="Q1280" s="6">
        <f>+L1280-M1280-N1280+P1280</f>
        <v>11.69</v>
      </c>
      <c r="R1280" s="3"/>
      <c r="S1280" s="3">
        <v>10.45</v>
      </c>
      <c r="T1280" s="3">
        <v>0.96</v>
      </c>
      <c r="U1280" s="3"/>
      <c r="V1280" s="3"/>
      <c r="W1280" s="3"/>
      <c r="X1280" s="2">
        <f>+S1280+T1280+V1280-W1280</f>
        <v>11.41</v>
      </c>
      <c r="Y1280" s="6">
        <f>+Q1280-X1280</f>
        <v>0.27999999999999936</v>
      </c>
      <c r="Z1280" s="2"/>
      <c r="AA1280" s="2"/>
      <c r="AB1280" s="2"/>
      <c r="AC1280" s="3"/>
      <c r="AD1280" s="2"/>
      <c r="AE1280" s="2"/>
      <c r="AF1280" s="2"/>
      <c r="AG1280" s="2" t="s">
        <v>1131</v>
      </c>
      <c r="AH1280" s="2" t="s">
        <v>1130</v>
      </c>
      <c r="AI1280" s="2" t="s">
        <v>1129</v>
      </c>
      <c r="AJ1280" s="2"/>
      <c r="AK1280" s="2"/>
      <c r="AL1280" s="2"/>
      <c r="AM1280" s="2" t="s">
        <v>1085</v>
      </c>
      <c r="AN1280" s="2"/>
      <c r="AO1280" s="2" t="s">
        <v>1132</v>
      </c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</row>
    <row r="1281" spans="3:58">
      <c r="E1281" s="2"/>
      <c r="F1281" s="2"/>
      <c r="G1281" s="2"/>
      <c r="H1281" s="2"/>
      <c r="I1281" s="2"/>
      <c r="J1281" s="2"/>
      <c r="K1281" s="2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 t="s">
        <v>1084</v>
      </c>
      <c r="Y1281" s="3"/>
      <c r="Z1281" s="2"/>
      <c r="AA1281" s="2"/>
      <c r="AB1281" s="2"/>
      <c r="AC1281" s="3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</row>
    <row r="1282" spans="3:58">
      <c r="C1282" s="1">
        <v>43741</v>
      </c>
      <c r="E1282" s="2" t="s">
        <v>1120</v>
      </c>
      <c r="F1282" s="2"/>
      <c r="G1282" s="2" t="s">
        <v>1121</v>
      </c>
      <c r="H1282" s="2" t="s">
        <v>1122</v>
      </c>
      <c r="I1282" s="2"/>
      <c r="J1282" s="2">
        <v>1</v>
      </c>
      <c r="K1282" s="2"/>
      <c r="L1282" s="3">
        <v>83.5</v>
      </c>
      <c r="M1282" s="3">
        <v>8.35</v>
      </c>
      <c r="N1282" s="3">
        <v>4.2300000000000004</v>
      </c>
      <c r="O1282" s="3"/>
      <c r="P1282" s="3">
        <v>5.85</v>
      </c>
      <c r="Q1282" s="6">
        <f>+L1282-M1282-N1282+P1282</f>
        <v>76.77</v>
      </c>
      <c r="R1282" s="3"/>
      <c r="S1282" s="3">
        <v>65.19</v>
      </c>
      <c r="T1282" s="3"/>
      <c r="U1282" s="3"/>
      <c r="V1282" s="3"/>
      <c r="W1282" s="3">
        <v>6.52</v>
      </c>
      <c r="X1282" s="2">
        <f>+S1282+T1282+V1282-W1282</f>
        <v>58.67</v>
      </c>
      <c r="Y1282" s="6">
        <f>+Q1282-X1282</f>
        <v>18.099999999999994</v>
      </c>
      <c r="Z1282" s="2"/>
      <c r="AA1282" s="2"/>
      <c r="AB1282" s="2"/>
      <c r="AC1282" s="3"/>
      <c r="AD1282" s="2"/>
      <c r="AE1282" s="2"/>
      <c r="AF1282" s="2"/>
      <c r="AG1282" s="2" t="s">
        <v>1125</v>
      </c>
      <c r="AH1282" s="2" t="s">
        <v>1124</v>
      </c>
      <c r="AI1282" s="2" t="s">
        <v>1123</v>
      </c>
      <c r="AJ1282" s="2"/>
      <c r="AK1282" s="2"/>
      <c r="AL1282" s="2"/>
      <c r="AM1282" s="2" t="s">
        <v>1085</v>
      </c>
      <c r="AN1282" s="2"/>
      <c r="AO1282" s="2" t="s">
        <v>1126</v>
      </c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</row>
    <row r="1283" spans="3:58">
      <c r="C1283" s="1">
        <v>43741</v>
      </c>
      <c r="E1283" s="2" t="s">
        <v>1101</v>
      </c>
      <c r="F1283" s="2"/>
      <c r="G1283" s="2" t="s">
        <v>1114</v>
      </c>
      <c r="H1283" s="2" t="s">
        <v>1115</v>
      </c>
      <c r="I1283" s="2"/>
      <c r="J1283" s="2">
        <v>1</v>
      </c>
      <c r="K1283" s="2"/>
      <c r="L1283" s="3">
        <v>16.8</v>
      </c>
      <c r="M1283" s="3">
        <v>1.68</v>
      </c>
      <c r="N1283" s="3">
        <v>1.0900000000000001</v>
      </c>
      <c r="O1283" s="3"/>
      <c r="P1283" s="3">
        <v>1.18</v>
      </c>
      <c r="Q1283" s="6">
        <f>+L1283-M1283-N1283+P1283</f>
        <v>15.21</v>
      </c>
      <c r="R1283" s="3"/>
      <c r="S1283" s="3">
        <v>12.39</v>
      </c>
      <c r="T1283" s="3"/>
      <c r="U1283" s="3"/>
      <c r="V1283" s="3"/>
      <c r="W1283" s="3"/>
      <c r="X1283" s="2">
        <f>+S1283+T1283+V1283-W1283</f>
        <v>12.39</v>
      </c>
      <c r="Y1283" s="6">
        <f>+Q1283-X1283</f>
        <v>2.8200000000000003</v>
      </c>
      <c r="Z1283" s="2"/>
      <c r="AA1283" s="2"/>
      <c r="AB1283" s="2"/>
      <c r="AC1283" s="3"/>
      <c r="AD1283" s="2"/>
      <c r="AE1283" s="2"/>
      <c r="AF1283" s="2"/>
      <c r="AG1283" s="2" t="s">
        <v>1119</v>
      </c>
      <c r="AH1283" s="2" t="s">
        <v>1118</v>
      </c>
      <c r="AI1283" s="2" t="s">
        <v>1117</v>
      </c>
      <c r="AJ1283" s="2"/>
      <c r="AK1283" s="2"/>
      <c r="AL1283" s="2"/>
      <c r="AM1283" s="2" t="s">
        <v>1085</v>
      </c>
      <c r="AN1283" s="2"/>
      <c r="AO1283" s="2" t="s">
        <v>1116</v>
      </c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</row>
    <row r="1284" spans="3:58">
      <c r="E1284" s="2"/>
      <c r="F1284" s="2"/>
      <c r="G1284" s="2"/>
      <c r="H1284" s="2"/>
      <c r="I1284" s="2"/>
      <c r="J1284" s="2"/>
      <c r="K1284" s="2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 t="s">
        <v>1084</v>
      </c>
      <c r="Y1284" s="3"/>
      <c r="Z1284" s="2"/>
      <c r="AA1284" s="2"/>
      <c r="AB1284" s="2"/>
      <c r="AC1284" s="3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</row>
    <row r="1285" spans="3:58">
      <c r="C1285" s="1">
        <v>43740</v>
      </c>
      <c r="E1285" s="2" t="s">
        <v>1107</v>
      </c>
      <c r="F1285" s="2"/>
      <c r="G1285" s="2" t="s">
        <v>1108</v>
      </c>
      <c r="H1285" s="2" t="s">
        <v>1109</v>
      </c>
      <c r="I1285" s="2"/>
      <c r="J1285" s="2">
        <v>1</v>
      </c>
      <c r="K1285" s="2"/>
      <c r="L1285" s="3">
        <v>12.6</v>
      </c>
      <c r="M1285" s="3">
        <v>1.26</v>
      </c>
      <c r="N1285" s="3">
        <v>0.89</v>
      </c>
      <c r="O1285" s="3"/>
      <c r="P1285" s="3">
        <v>0.88</v>
      </c>
      <c r="Q1285" s="6">
        <f>+L1285-M1285-N1285+P1285</f>
        <v>11.33</v>
      </c>
      <c r="R1285" s="3"/>
      <c r="S1285" s="3">
        <v>10.45</v>
      </c>
      <c r="T1285" s="3">
        <v>0.2</v>
      </c>
      <c r="U1285" s="3"/>
      <c r="V1285" s="3"/>
      <c r="W1285" s="3"/>
      <c r="X1285" s="2">
        <f>+S1285+T1285+V1285-W1285</f>
        <v>10.649999999999999</v>
      </c>
      <c r="Y1285" s="6">
        <f>+Q1285-X1285</f>
        <v>0.68000000000000149</v>
      </c>
      <c r="Z1285" s="2"/>
      <c r="AA1285" s="2"/>
      <c r="AB1285" s="2"/>
      <c r="AC1285" s="3"/>
      <c r="AD1285" s="2"/>
      <c r="AE1285" s="2"/>
      <c r="AF1285" s="2"/>
      <c r="AG1285" s="2" t="s">
        <v>1112</v>
      </c>
      <c r="AH1285" s="2" t="s">
        <v>1111</v>
      </c>
      <c r="AI1285" s="2" t="s">
        <v>1110</v>
      </c>
      <c r="AJ1285" s="2"/>
      <c r="AK1285" s="2"/>
      <c r="AL1285" s="2"/>
      <c r="AM1285" s="2" t="s">
        <v>1085</v>
      </c>
      <c r="AN1285" s="2"/>
      <c r="AO1285" s="2" t="s">
        <v>1113</v>
      </c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</row>
    <row r="1286" spans="3:58">
      <c r="C1286" s="1">
        <v>43740</v>
      </c>
      <c r="E1286" s="2" t="s">
        <v>1092</v>
      </c>
      <c r="F1286" s="2"/>
      <c r="G1286" s="2" t="s">
        <v>1094</v>
      </c>
      <c r="H1286" s="2" t="s">
        <v>1095</v>
      </c>
      <c r="I1286" s="2"/>
      <c r="J1286" s="2"/>
      <c r="K1286" s="2"/>
      <c r="L1286" s="3">
        <v>83.5</v>
      </c>
      <c r="M1286" s="3">
        <v>8.35</v>
      </c>
      <c r="N1286" s="3">
        <v>3.97</v>
      </c>
      <c r="O1286" s="3"/>
      <c r="P1286" s="3"/>
      <c r="Q1286" s="6">
        <f>+L1286-M1286-N1286+P1286</f>
        <v>71.180000000000007</v>
      </c>
      <c r="R1286" s="3"/>
      <c r="S1286" s="3">
        <v>65.19</v>
      </c>
      <c r="T1286" s="3">
        <v>5.05</v>
      </c>
      <c r="U1286" s="3"/>
      <c r="V1286" s="3"/>
      <c r="W1286" s="3">
        <v>6.52</v>
      </c>
      <c r="X1286" s="2">
        <f>+S1286+T1286+V1286-W1286</f>
        <v>63.72</v>
      </c>
      <c r="Y1286" s="6">
        <f>+Q1286-X1286</f>
        <v>7.460000000000008</v>
      </c>
      <c r="Z1286" s="6">
        <f>+Y1286</f>
        <v>7.460000000000008</v>
      </c>
      <c r="AA1286" s="2"/>
      <c r="AB1286" s="2"/>
      <c r="AC1286" s="3"/>
      <c r="AD1286" s="2"/>
      <c r="AE1286" s="2"/>
      <c r="AF1286" s="2"/>
      <c r="AG1286" s="2" t="s">
        <v>1098</v>
      </c>
      <c r="AH1286" s="2" t="s">
        <v>1097</v>
      </c>
      <c r="AI1286" s="2" t="s">
        <v>1096</v>
      </c>
      <c r="AJ1286" s="2"/>
      <c r="AK1286" s="2"/>
      <c r="AL1286" s="2"/>
      <c r="AM1286" s="2" t="s">
        <v>1085</v>
      </c>
      <c r="AN1286" s="2"/>
      <c r="AO1286" s="2" t="s">
        <v>1099</v>
      </c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</row>
    <row r="1287" spans="3:58">
      <c r="E1287" s="2"/>
      <c r="F1287" s="2"/>
      <c r="G1287" s="2"/>
      <c r="H1287" s="2"/>
      <c r="I1287" s="2"/>
      <c r="J1287" s="2"/>
      <c r="K1287" s="2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2"/>
      <c r="AA1287" s="6">
        <f>SUM(Z1235:Z1286)</f>
        <v>97.630000000000052</v>
      </c>
      <c r="AB1287" s="2"/>
      <c r="AC1287" s="3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</row>
    <row r="1288" spans="3:58">
      <c r="C1288" s="1">
        <v>43739</v>
      </c>
      <c r="E1288" s="5" t="s">
        <v>1093</v>
      </c>
      <c r="F1288" s="5"/>
      <c r="H1288" s="2"/>
      <c r="I1288" s="2"/>
      <c r="J1288" s="2"/>
      <c r="K1288" s="2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2"/>
      <c r="AA1288" s="2"/>
      <c r="AB1288" s="2"/>
      <c r="AC1288" s="3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</row>
    <row r="1289" spans="3:58">
      <c r="E1289" s="2"/>
      <c r="F1289" s="2"/>
      <c r="G1289" s="2"/>
      <c r="H1289" s="2"/>
      <c r="I1289" s="2"/>
      <c r="J1289" s="2"/>
      <c r="K1289" s="2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 t="s">
        <v>1084</v>
      </c>
      <c r="Y1289" s="3"/>
      <c r="Z1289" s="2"/>
      <c r="AA1289" s="2"/>
      <c r="AB1289" s="2"/>
      <c r="AC1289" s="3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</row>
    <row r="1290" spans="3:58">
      <c r="C1290" s="1">
        <v>43738</v>
      </c>
      <c r="E1290" s="2" t="s">
        <v>1101</v>
      </c>
      <c r="F1290" s="2"/>
      <c r="G1290" s="2" t="s">
        <v>1102</v>
      </c>
      <c r="H1290" s="2" t="s">
        <v>1103</v>
      </c>
      <c r="I1290" s="2"/>
      <c r="J1290" s="2">
        <v>1</v>
      </c>
      <c r="K1290" s="2"/>
      <c r="L1290" s="3">
        <v>16.8</v>
      </c>
      <c r="M1290" s="3">
        <v>1.68</v>
      </c>
      <c r="N1290" s="3">
        <v>1.1000000000000001</v>
      </c>
      <c r="O1290" s="3"/>
      <c r="P1290" s="3">
        <v>1.39</v>
      </c>
      <c r="Q1290" s="6">
        <f>+L1290-M1290-N1290+P1290</f>
        <v>15.410000000000002</v>
      </c>
      <c r="R1290" s="3"/>
      <c r="S1290" s="3">
        <v>12.39</v>
      </c>
      <c r="T1290" s="3">
        <v>1.02</v>
      </c>
      <c r="U1290" s="3"/>
      <c r="V1290" s="3"/>
      <c r="W1290" s="3"/>
      <c r="X1290" s="2">
        <f>+S1290+T1290+V1290-W1290</f>
        <v>13.41</v>
      </c>
      <c r="Y1290" s="6">
        <f>+Q1290-X1290</f>
        <v>2.0000000000000018</v>
      </c>
      <c r="Z1290" s="2"/>
      <c r="AA1290" s="2"/>
      <c r="AB1290" s="2"/>
      <c r="AC1290" s="3"/>
      <c r="AD1290" s="2"/>
      <c r="AE1290" s="2"/>
      <c r="AF1290" s="2"/>
      <c r="AG1290" s="2" t="s">
        <v>1106</v>
      </c>
      <c r="AH1290" s="2" t="s">
        <v>1105</v>
      </c>
      <c r="AI1290" s="2" t="s">
        <v>1104</v>
      </c>
      <c r="AJ1290" s="2"/>
      <c r="AK1290" s="2"/>
      <c r="AL1290" s="2"/>
      <c r="AM1290" s="2" t="s">
        <v>1085</v>
      </c>
      <c r="AN1290" s="2"/>
      <c r="AO1290" s="2" t="s">
        <v>1100</v>
      </c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</row>
    <row r="1291" spans="3:58">
      <c r="E1291" s="2"/>
      <c r="F1291" s="2"/>
      <c r="G1291" s="2"/>
      <c r="H1291" s="2"/>
      <c r="I1291" s="2"/>
      <c r="J1291" s="2"/>
      <c r="K1291" s="2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 t="s">
        <v>1084</v>
      </c>
      <c r="Y1291" s="3"/>
      <c r="Z1291" s="2"/>
      <c r="AA1291" s="2"/>
      <c r="AB1291" s="2"/>
      <c r="AC1291" s="3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</row>
    <row r="1292" spans="3:58">
      <c r="C1292" s="1">
        <v>43737</v>
      </c>
      <c r="E1292" s="2" t="s">
        <v>1081</v>
      </c>
      <c r="F1292" s="2"/>
      <c r="G1292" s="2" t="s">
        <v>1087</v>
      </c>
      <c r="H1292" s="2" t="s">
        <v>1088</v>
      </c>
      <c r="I1292" s="2"/>
      <c r="J1292" s="2">
        <v>1</v>
      </c>
      <c r="K1292" s="2"/>
      <c r="L1292" s="3">
        <v>33.85</v>
      </c>
      <c r="M1292" s="3">
        <v>3.38</v>
      </c>
      <c r="N1292" s="3">
        <v>1.79</v>
      </c>
      <c r="O1292" s="3"/>
      <c r="P1292" s="3"/>
      <c r="Q1292" s="6">
        <f>+L1292-M1292-N1292+P1292</f>
        <v>28.680000000000003</v>
      </c>
      <c r="R1292" s="3"/>
      <c r="S1292" s="3">
        <v>23.99</v>
      </c>
      <c r="T1292" s="3">
        <v>1.8</v>
      </c>
      <c r="U1292" s="3"/>
      <c r="V1292" s="3"/>
      <c r="W1292" s="3"/>
      <c r="X1292" s="2">
        <f>+S1292+T1292+V1292-W1292</f>
        <v>25.79</v>
      </c>
      <c r="Y1292" s="6">
        <f>+Q1292-X1292</f>
        <v>2.8900000000000041</v>
      </c>
      <c r="Z1292" s="2" t="s">
        <v>1084</v>
      </c>
      <c r="AA1292" s="2"/>
      <c r="AB1292" s="2"/>
      <c r="AC1292" s="3"/>
      <c r="AD1292" s="2"/>
      <c r="AE1292" s="2"/>
      <c r="AF1292" s="2"/>
      <c r="AG1292" s="2" t="s">
        <v>1091</v>
      </c>
      <c r="AH1292" s="2" t="s">
        <v>1090</v>
      </c>
      <c r="AI1292" s="2" t="s">
        <v>1089</v>
      </c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</row>
    <row r="1293" spans="3:58">
      <c r="C1293" s="1">
        <v>43737</v>
      </c>
      <c r="E1293" s="2" t="s">
        <v>61</v>
      </c>
      <c r="F1293" s="2"/>
      <c r="G1293" s="2" t="s">
        <v>1075</v>
      </c>
      <c r="H1293" s="2" t="s">
        <v>1076</v>
      </c>
      <c r="I1293" s="2"/>
      <c r="J1293" s="2">
        <v>1</v>
      </c>
      <c r="K1293" s="2"/>
      <c r="L1293" s="3">
        <v>35.799999999999997</v>
      </c>
      <c r="M1293" s="3">
        <v>3.58</v>
      </c>
      <c r="N1293" s="3">
        <v>2.02</v>
      </c>
      <c r="O1293" s="3"/>
      <c r="P1293" s="3">
        <v>3.22</v>
      </c>
      <c r="Q1293" s="6">
        <f>+L1293-M1293-N1293+P1293</f>
        <v>33.42</v>
      </c>
      <c r="R1293" s="3"/>
      <c r="S1293" s="3">
        <v>25.98</v>
      </c>
      <c r="T1293" s="3">
        <v>1.75</v>
      </c>
      <c r="U1293" s="3"/>
      <c r="V1293" s="3">
        <v>1</v>
      </c>
      <c r="W1293" s="3"/>
      <c r="X1293" s="2">
        <f>+S1293+T1293+V1293-W1293</f>
        <v>28.73</v>
      </c>
      <c r="Y1293" s="6">
        <f>+Q1293-X1293</f>
        <v>4.6900000000000013</v>
      </c>
      <c r="Z1293" s="2"/>
      <c r="AA1293" s="2"/>
      <c r="AB1293" s="2"/>
      <c r="AC1293" s="3"/>
      <c r="AD1293" s="2"/>
      <c r="AE1293" s="2"/>
      <c r="AF1293" s="2"/>
      <c r="AG1293" s="2" t="s">
        <v>1079</v>
      </c>
      <c r="AH1293" s="2" t="s">
        <v>1078</v>
      </c>
      <c r="AI1293" s="2" t="s">
        <v>1077</v>
      </c>
      <c r="AJ1293" s="2"/>
      <c r="AK1293" s="2"/>
      <c r="AL1293" s="2"/>
      <c r="AM1293" s="2" t="s">
        <v>1085</v>
      </c>
      <c r="AN1293" s="2"/>
      <c r="AO1293" s="10" t="s">
        <v>1086</v>
      </c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</row>
    <row r="1294" spans="3:58">
      <c r="E1294" s="2"/>
      <c r="F1294" s="2"/>
      <c r="G1294" s="2"/>
      <c r="H1294" s="2"/>
      <c r="I1294" s="2"/>
      <c r="J1294" s="2"/>
      <c r="K1294" s="2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2"/>
      <c r="AA1294" s="2"/>
      <c r="AB1294" s="2"/>
      <c r="AC1294" s="3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</row>
    <row r="1295" spans="3:58">
      <c r="C1295" s="1">
        <v>43736</v>
      </c>
      <c r="E1295" s="2" t="s">
        <v>1068</v>
      </c>
      <c r="F1295" s="2"/>
      <c r="G1295" s="2" t="s">
        <v>1069</v>
      </c>
      <c r="H1295" s="2" t="s">
        <v>1070</v>
      </c>
      <c r="I1295" s="2"/>
      <c r="J1295" s="2">
        <v>1</v>
      </c>
      <c r="K1295" s="2"/>
      <c r="L1295" s="3">
        <v>23.2</v>
      </c>
      <c r="M1295" s="3">
        <v>2.3199999999999998</v>
      </c>
      <c r="N1295" s="3">
        <v>1.41</v>
      </c>
      <c r="O1295" s="3"/>
      <c r="P1295" s="3">
        <v>2</v>
      </c>
      <c r="Q1295" s="6">
        <f>+L1295-M1295-N1295+P1295</f>
        <v>21.47</v>
      </c>
      <c r="R1295" s="3"/>
      <c r="S1295" s="3">
        <v>17.8</v>
      </c>
      <c r="T1295" s="3"/>
      <c r="U1295" s="3"/>
      <c r="V1295" s="3"/>
      <c r="W1295" s="3">
        <v>0</v>
      </c>
      <c r="X1295" s="2">
        <f>+S1295+T1295+V1295-W1295</f>
        <v>17.8</v>
      </c>
      <c r="Y1295" s="6">
        <f>+Q1295-X1295</f>
        <v>3.6699999999999982</v>
      </c>
      <c r="Z1295" s="2"/>
      <c r="AA1295" s="2"/>
      <c r="AB1295" s="2"/>
      <c r="AC1295" s="3"/>
      <c r="AD1295" s="2"/>
      <c r="AE1295" s="2"/>
      <c r="AF1295" s="2"/>
      <c r="AG1295" s="2" t="s">
        <v>1073</v>
      </c>
      <c r="AH1295" s="2" t="s">
        <v>1072</v>
      </c>
      <c r="AI1295" s="2" t="s">
        <v>1071</v>
      </c>
      <c r="AJ1295" s="2"/>
      <c r="AK1295" s="2" t="s">
        <v>1023</v>
      </c>
      <c r="AL1295" s="2"/>
      <c r="AM1295" s="2" t="s">
        <v>1083</v>
      </c>
      <c r="AN1295" s="2"/>
      <c r="AO1295" s="2" t="s">
        <v>1082</v>
      </c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</row>
    <row r="1296" spans="3:58">
      <c r="E1296" s="2"/>
      <c r="F1296" s="2"/>
      <c r="G1296" s="2"/>
      <c r="H1296" s="2"/>
      <c r="I1296" s="2"/>
      <c r="J1296" s="2"/>
      <c r="K1296" s="2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 t="s">
        <v>1023</v>
      </c>
      <c r="Z1296" s="2"/>
      <c r="AA1296" s="2"/>
      <c r="AB1296" s="2"/>
      <c r="AC1296" s="3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</row>
    <row r="1297" spans="2:58">
      <c r="B1297" s="2">
        <v>1</v>
      </c>
      <c r="C1297" s="1">
        <v>43735</v>
      </c>
      <c r="E1297" s="2" t="s">
        <v>1020</v>
      </c>
      <c r="F1297" s="2"/>
      <c r="G1297" s="2" t="s">
        <v>1062</v>
      </c>
      <c r="H1297" s="2" t="s">
        <v>1063</v>
      </c>
      <c r="I1297" s="2"/>
      <c r="J1297" s="2">
        <v>1</v>
      </c>
      <c r="K1297" s="2"/>
      <c r="L1297" s="3">
        <v>83.5</v>
      </c>
      <c r="M1297" s="3">
        <v>8.35</v>
      </c>
      <c r="N1297" s="3">
        <v>4.1900000000000004</v>
      </c>
      <c r="O1297" s="3"/>
      <c r="P1297" s="3">
        <v>5.01</v>
      </c>
      <c r="Q1297" s="6">
        <f>+L1297-M1297-N1297+P1297</f>
        <v>75.970000000000013</v>
      </c>
      <c r="R1297" s="3"/>
      <c r="S1297" s="3">
        <v>65.19</v>
      </c>
      <c r="T1297" s="3"/>
      <c r="U1297" s="3"/>
      <c r="V1297" s="3"/>
      <c r="W1297" s="3">
        <v>6.52</v>
      </c>
      <c r="X1297" s="2">
        <f>+S1297+T1297+V1297-W1297</f>
        <v>58.67</v>
      </c>
      <c r="Y1297" s="6">
        <f>+Q1297-X1297</f>
        <v>17.300000000000011</v>
      </c>
      <c r="Z1297" s="6">
        <f>+Y1297</f>
        <v>17.300000000000011</v>
      </c>
      <c r="AA1297" s="6">
        <f>+Y1297</f>
        <v>17.300000000000011</v>
      </c>
      <c r="AB1297" s="2"/>
      <c r="AC1297" s="3"/>
      <c r="AD1297" s="2"/>
      <c r="AE1297" s="2"/>
      <c r="AF1297" s="2"/>
      <c r="AG1297" s="2" t="s">
        <v>1066</v>
      </c>
      <c r="AH1297" s="2" t="s">
        <v>1065</v>
      </c>
      <c r="AI1297" s="2" t="s">
        <v>1064</v>
      </c>
      <c r="AJ1297" s="2"/>
      <c r="AK1297" s="2" t="s">
        <v>1074</v>
      </c>
      <c r="AL1297" s="2" t="s">
        <v>4264</v>
      </c>
      <c r="AM1297" s="2"/>
      <c r="AN1297" s="2"/>
      <c r="AO1297" s="2" t="s">
        <v>1080</v>
      </c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</row>
    <row r="1298" spans="2:58">
      <c r="B1298" s="2"/>
      <c r="E1298" s="2"/>
      <c r="F1298" s="2"/>
      <c r="G1298" s="2"/>
      <c r="H1298" s="2"/>
      <c r="I1298" s="2"/>
      <c r="J1298" s="2"/>
      <c r="K1298" s="2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2"/>
      <c r="AA1298" s="2"/>
      <c r="AB1298" s="2"/>
      <c r="AC1298" s="3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</row>
    <row r="1299" spans="2:58">
      <c r="B1299" s="2">
        <v>1</v>
      </c>
      <c r="C1299" s="1">
        <v>43734</v>
      </c>
      <c r="E1299" s="2" t="s">
        <v>1057</v>
      </c>
      <c r="F1299" s="2"/>
      <c r="G1299" s="2" t="s">
        <v>1055</v>
      </c>
      <c r="H1299" s="2" t="s">
        <v>1056</v>
      </c>
      <c r="I1299" s="2"/>
      <c r="J1299" s="2">
        <v>1</v>
      </c>
      <c r="K1299" s="2"/>
      <c r="L1299" s="3">
        <v>14.5</v>
      </c>
      <c r="M1299" s="3">
        <v>1.45</v>
      </c>
      <c r="N1299" s="3">
        <v>0.99</v>
      </c>
      <c r="O1299" s="3"/>
      <c r="P1299" s="3">
        <v>1.2</v>
      </c>
      <c r="Q1299" s="6">
        <f>+L1299-M1299-N1299+P1299</f>
        <v>13.26</v>
      </c>
      <c r="R1299" s="3"/>
      <c r="S1299" s="3" t="s">
        <v>1023</v>
      </c>
      <c r="T1299" s="3"/>
      <c r="U1299" s="3"/>
      <c r="V1299" s="3"/>
      <c r="W1299" s="3"/>
      <c r="X1299" s="3"/>
      <c r="Y1299" s="3"/>
      <c r="Z1299" s="2"/>
      <c r="AA1299" s="2"/>
      <c r="AB1299" s="2"/>
      <c r="AC1299" s="3"/>
      <c r="AD1299" s="2"/>
      <c r="AE1299" s="2"/>
      <c r="AF1299" s="2"/>
      <c r="AG1299" s="2" t="s">
        <v>1060</v>
      </c>
      <c r="AH1299" s="2" t="s">
        <v>1059</v>
      </c>
      <c r="AI1299" s="2" t="s">
        <v>1058</v>
      </c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</row>
    <row r="1300" spans="2:58">
      <c r="B1300" s="2"/>
      <c r="C1300" s="1"/>
      <c r="E1300" s="2"/>
      <c r="F1300" s="2"/>
      <c r="G1300" s="2"/>
      <c r="H1300" s="2"/>
      <c r="I1300" s="2"/>
      <c r="J1300" s="2"/>
      <c r="K1300" s="2"/>
      <c r="L1300" s="3"/>
      <c r="M1300" s="3"/>
      <c r="N1300" s="3"/>
      <c r="O1300" s="3"/>
      <c r="P1300" s="3"/>
      <c r="Q1300" s="6"/>
      <c r="R1300" s="3"/>
      <c r="S1300" s="3"/>
      <c r="T1300" s="3"/>
      <c r="U1300" s="3"/>
      <c r="V1300" s="3"/>
      <c r="W1300" s="3"/>
      <c r="X1300" s="3"/>
      <c r="Y1300" s="3"/>
      <c r="Z1300" s="2"/>
      <c r="AA1300" s="2"/>
      <c r="AB1300" s="2"/>
      <c r="AC1300" s="3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</row>
    <row r="1301" spans="2:58">
      <c r="B1301" s="2">
        <v>0</v>
      </c>
      <c r="C1301" s="1">
        <v>43733</v>
      </c>
      <c r="E1301" s="2" t="s">
        <v>1061</v>
      </c>
      <c r="F1301" s="2"/>
      <c r="G1301" s="2"/>
      <c r="H1301" s="2"/>
      <c r="I1301" s="2"/>
      <c r="J1301" s="2"/>
      <c r="K1301" s="2"/>
      <c r="L1301" s="3"/>
      <c r="M1301" s="3"/>
      <c r="N1301" s="3"/>
      <c r="O1301" s="3"/>
      <c r="P1301" s="3"/>
      <c r="Q1301" s="6"/>
      <c r="R1301" s="3"/>
      <c r="S1301" s="3"/>
      <c r="T1301" s="3"/>
      <c r="U1301" s="3"/>
      <c r="V1301" s="3"/>
      <c r="W1301" s="3"/>
      <c r="X1301" s="3"/>
      <c r="Y1301" s="3"/>
      <c r="Z1301" s="2"/>
      <c r="AA1301" s="2"/>
      <c r="AB1301" s="2"/>
      <c r="AC1301" s="3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</row>
    <row r="1302" spans="2:58">
      <c r="B1302" s="2"/>
      <c r="E1302" s="2"/>
      <c r="F1302" s="2"/>
      <c r="G1302" s="2"/>
      <c r="H1302" s="2"/>
      <c r="I1302" s="2"/>
      <c r="J1302" s="2"/>
      <c r="K1302" s="2"/>
      <c r="L1302" s="3"/>
      <c r="M1302" s="3"/>
      <c r="N1302" s="3"/>
      <c r="O1302" s="3"/>
      <c r="P1302" s="3"/>
      <c r="Q1302" s="3"/>
      <c r="R1302" s="3"/>
      <c r="S1302" s="3" t="s">
        <v>1023</v>
      </c>
      <c r="T1302" s="3"/>
      <c r="U1302" s="3"/>
      <c r="V1302" s="3"/>
      <c r="W1302" s="3"/>
      <c r="X1302" s="3" t="s">
        <v>1023</v>
      </c>
      <c r="Y1302" s="3"/>
      <c r="Z1302" s="2"/>
      <c r="AA1302" s="2"/>
      <c r="AB1302" s="2"/>
      <c r="AC1302" s="3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</row>
    <row r="1303" spans="2:58">
      <c r="B1303" s="2">
        <v>1</v>
      </c>
      <c r="C1303" s="1">
        <v>43732</v>
      </c>
      <c r="E1303" s="2" t="s">
        <v>1047</v>
      </c>
      <c r="F1303" s="2"/>
      <c r="G1303" s="2" t="s">
        <v>1048</v>
      </c>
      <c r="H1303" s="2" t="s">
        <v>1049</v>
      </c>
      <c r="I1303" s="2"/>
      <c r="J1303" s="2">
        <v>1</v>
      </c>
      <c r="K1303" s="2"/>
      <c r="L1303" s="3">
        <v>17.95</v>
      </c>
      <c r="M1303" s="3">
        <v>1.79</v>
      </c>
      <c r="N1303" s="3">
        <v>1.1499999999999999</v>
      </c>
      <c r="O1303" s="3"/>
      <c r="P1303" s="3">
        <v>1.26</v>
      </c>
      <c r="Q1303" s="6">
        <f>+L1303-M1303-N1303+P1303</f>
        <v>16.27</v>
      </c>
      <c r="R1303" s="3"/>
      <c r="S1303" s="3">
        <v>11.16</v>
      </c>
      <c r="T1303" s="3">
        <v>0.75</v>
      </c>
      <c r="U1303" s="3"/>
      <c r="V1303" s="3"/>
      <c r="W1303" s="3"/>
      <c r="X1303" s="2">
        <f>+S1303+T1303+V1303-W1303</f>
        <v>11.91</v>
      </c>
      <c r="Y1303" s="6">
        <f>+Q1303-X1303</f>
        <v>4.3599999999999994</v>
      </c>
      <c r="Z1303" s="2"/>
      <c r="AA1303" s="2"/>
      <c r="AB1303" s="2"/>
      <c r="AC1303" s="3"/>
      <c r="AD1303" s="2"/>
      <c r="AE1303" s="2"/>
      <c r="AF1303" s="2"/>
      <c r="AG1303" s="2" t="s">
        <v>1050</v>
      </c>
      <c r="AH1303" t="s">
        <v>1052</v>
      </c>
      <c r="AI1303" s="2" t="s">
        <v>1051</v>
      </c>
      <c r="AJ1303" s="2"/>
      <c r="AK1303" s="2" t="s">
        <v>1053</v>
      </c>
      <c r="AL1303" s="2"/>
      <c r="AM1303" s="2"/>
      <c r="AN1303" s="2"/>
      <c r="AO1303" s="2" t="s">
        <v>1054</v>
      </c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</row>
    <row r="1304" spans="2:58">
      <c r="B1304" s="2"/>
      <c r="E1304" s="2"/>
      <c r="F1304" s="2"/>
      <c r="G1304" s="2"/>
      <c r="H1304" s="2"/>
      <c r="I1304" s="2"/>
      <c r="J1304" s="2"/>
      <c r="K1304" s="2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 t="s">
        <v>1023</v>
      </c>
      <c r="Y1304" s="3"/>
      <c r="Z1304" s="2"/>
      <c r="AA1304" s="2"/>
      <c r="AB1304" s="2"/>
      <c r="AC1304" s="3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</row>
    <row r="1305" spans="2:58">
      <c r="B1305" s="2">
        <v>1</v>
      </c>
      <c r="C1305" s="1">
        <v>43731</v>
      </c>
      <c r="E1305" s="2" t="s">
        <v>393</v>
      </c>
      <c r="F1305" s="2"/>
      <c r="G1305" s="2" t="s">
        <v>1041</v>
      </c>
      <c r="H1305" s="2" t="s">
        <v>1042</v>
      </c>
      <c r="I1305" s="2"/>
      <c r="J1305" s="2">
        <v>1</v>
      </c>
      <c r="K1305" s="2"/>
      <c r="L1305" s="3">
        <v>56.96</v>
      </c>
      <c r="M1305" s="3">
        <v>5.69</v>
      </c>
      <c r="N1305" s="3">
        <v>2.81</v>
      </c>
      <c r="O1305" s="3"/>
      <c r="P1305" s="3"/>
      <c r="Q1305" s="6">
        <f>+L1305-M1305-N1305+P1305</f>
        <v>48.46</v>
      </c>
      <c r="R1305" s="3"/>
      <c r="S1305" s="3">
        <v>44.99</v>
      </c>
      <c r="T1305" s="3">
        <v>4.2699999999999996</v>
      </c>
      <c r="U1305" s="3"/>
      <c r="V1305" s="3"/>
      <c r="W1305" s="3">
        <v>2.25</v>
      </c>
      <c r="X1305" s="2">
        <f>+S1305+T1305+V1305-W1305</f>
        <v>47.010000000000005</v>
      </c>
      <c r="Y1305" s="6">
        <f>+Q1305-X1305</f>
        <v>1.4499999999999957</v>
      </c>
      <c r="Z1305" s="2"/>
      <c r="AA1305" s="2"/>
      <c r="AB1305" s="2"/>
      <c r="AC1305" s="3"/>
      <c r="AD1305" s="2"/>
      <c r="AE1305" s="2"/>
      <c r="AF1305" s="2"/>
      <c r="AG1305" s="2" t="s">
        <v>1045</v>
      </c>
      <c r="AH1305" s="2" t="s">
        <v>1044</v>
      </c>
      <c r="AI1305" s="2" t="s">
        <v>1043</v>
      </c>
      <c r="AJ1305" s="2"/>
      <c r="AK1305" s="2"/>
      <c r="AL1305" s="2" t="s">
        <v>4265</v>
      </c>
      <c r="AM1305" s="2"/>
      <c r="AN1305" s="2"/>
      <c r="AO1305" s="2" t="s">
        <v>1046</v>
      </c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</row>
    <row r="1306" spans="2:58">
      <c r="B1306" s="2"/>
      <c r="C1306" s="1" t="s">
        <v>1023</v>
      </c>
      <c r="E1306" s="2"/>
      <c r="F1306" s="2"/>
      <c r="G1306" s="2"/>
      <c r="H1306" s="2"/>
      <c r="I1306" s="2"/>
      <c r="J1306" s="2"/>
      <c r="K1306" s="2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2"/>
      <c r="AA1306" s="2"/>
      <c r="AB1306" s="2"/>
      <c r="AC1306" s="3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</row>
    <row r="1307" spans="2:58">
      <c r="B1307" s="2">
        <v>1</v>
      </c>
      <c r="C1307" s="1">
        <v>43730</v>
      </c>
      <c r="E1307" s="2" t="s">
        <v>178</v>
      </c>
      <c r="F1307" s="2"/>
      <c r="G1307" s="2" t="s">
        <v>1036</v>
      </c>
      <c r="H1307" s="2" t="s">
        <v>3090</v>
      </c>
      <c r="I1307" s="2"/>
      <c r="J1307" s="2">
        <v>1</v>
      </c>
      <c r="K1307" s="2"/>
      <c r="L1307" s="3">
        <v>30.7</v>
      </c>
      <c r="M1307" s="3">
        <v>3.07</v>
      </c>
      <c r="N1307" s="3">
        <v>1.65</v>
      </c>
      <c r="O1307" s="3"/>
      <c r="P1307" s="3"/>
      <c r="Q1307" s="6">
        <f>+L1307-M1307-N1307+P1307</f>
        <v>25.98</v>
      </c>
      <c r="R1307" s="3"/>
      <c r="S1307" s="3">
        <v>21.95</v>
      </c>
      <c r="T1307" s="3">
        <v>1.76</v>
      </c>
      <c r="U1307" s="3"/>
      <c r="V1307" s="3"/>
      <c r="W1307" s="3"/>
      <c r="X1307" s="2">
        <f>+S1307+T1307+V1307-W1307</f>
        <v>23.71</v>
      </c>
      <c r="Y1307" s="6">
        <f>+Q1307-X1307</f>
        <v>2.2699999999999996</v>
      </c>
      <c r="Z1307" s="2"/>
      <c r="AA1307" s="2"/>
      <c r="AB1307" s="2"/>
      <c r="AC1307" s="3"/>
      <c r="AD1307" s="2"/>
      <c r="AE1307" s="2"/>
      <c r="AF1307" s="2"/>
      <c r="AG1307" s="2" t="s">
        <v>1037</v>
      </c>
      <c r="AH1307" s="2" t="s">
        <v>1039</v>
      </c>
      <c r="AI1307" s="2" t="s">
        <v>1038</v>
      </c>
      <c r="AJ1307" s="2"/>
      <c r="AK1307" s="2"/>
      <c r="AL1307" s="2"/>
      <c r="AM1307" s="2" t="s">
        <v>1040</v>
      </c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</row>
    <row r="1308" spans="2:58">
      <c r="B1308" s="2"/>
      <c r="E1308" s="2"/>
      <c r="F1308" s="2"/>
      <c r="G1308" s="2"/>
      <c r="H1308" s="2"/>
      <c r="I1308" s="2"/>
      <c r="J1308" s="2"/>
      <c r="K1308" s="2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2"/>
      <c r="AA1308" s="2"/>
      <c r="AB1308" s="2"/>
      <c r="AC1308" s="3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</row>
    <row r="1309" spans="2:58">
      <c r="B1309" s="2">
        <v>1</v>
      </c>
      <c r="C1309" s="1">
        <v>43729</v>
      </c>
      <c r="E1309" s="2" t="s">
        <v>1028</v>
      </c>
      <c r="F1309" s="2"/>
      <c r="G1309" s="2" t="s">
        <v>1034</v>
      </c>
      <c r="H1309" s="2" t="s">
        <v>1033</v>
      </c>
      <c r="I1309" s="2"/>
      <c r="J1309" s="2">
        <v>1</v>
      </c>
      <c r="K1309" s="2"/>
      <c r="L1309" s="3">
        <v>83.5</v>
      </c>
      <c r="M1309" s="3">
        <v>8.35</v>
      </c>
      <c r="N1309" s="3">
        <v>3.97</v>
      </c>
      <c r="O1309" s="3"/>
      <c r="P1309" s="3"/>
      <c r="Q1309" s="6">
        <f>+L1309-M1309-N1309+P1309</f>
        <v>71.180000000000007</v>
      </c>
      <c r="R1309" s="3"/>
      <c r="S1309" s="3">
        <v>65.19</v>
      </c>
      <c r="T1309" s="3">
        <v>3.14</v>
      </c>
      <c r="U1309" s="3"/>
      <c r="V1309" s="3"/>
      <c r="W1309" s="3">
        <v>6.52</v>
      </c>
      <c r="X1309" s="2">
        <f>+S1309+T1309+V1309-W1309</f>
        <v>61.81</v>
      </c>
      <c r="Y1309" s="6">
        <f>+Q1309-X1309</f>
        <v>9.3700000000000045</v>
      </c>
      <c r="Z1309" s="6">
        <f>+Y1309</f>
        <v>9.3700000000000045</v>
      </c>
      <c r="AA1309" s="6">
        <f>+Y1309</f>
        <v>9.3700000000000045</v>
      </c>
      <c r="AB1309" s="2"/>
      <c r="AC1309" s="3"/>
      <c r="AD1309" s="2"/>
      <c r="AE1309" s="2"/>
      <c r="AF1309" s="2"/>
      <c r="AG1309" s="2" t="s">
        <v>1032</v>
      </c>
      <c r="AH1309" s="2" t="s">
        <v>1031</v>
      </c>
      <c r="AI1309" s="2" t="s">
        <v>1030</v>
      </c>
      <c r="AJ1309" s="2"/>
      <c r="AK1309" s="2" t="s">
        <v>1035</v>
      </c>
      <c r="AL1309" s="2" t="s">
        <v>4266</v>
      </c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</row>
    <row r="1310" spans="2:58">
      <c r="B1310" s="2"/>
      <c r="E1310" s="2"/>
      <c r="F1310" s="2"/>
      <c r="G1310" s="2"/>
      <c r="H1310" s="2"/>
      <c r="I1310" s="2"/>
      <c r="J1310" s="2"/>
      <c r="K1310" s="2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2"/>
      <c r="AA1310" s="2"/>
      <c r="AB1310" s="2"/>
      <c r="AC1310" s="3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</row>
    <row r="1311" spans="2:58">
      <c r="B1311" s="2">
        <v>0</v>
      </c>
      <c r="C1311" s="1">
        <v>43728</v>
      </c>
      <c r="E1311" s="2" t="s">
        <v>1029</v>
      </c>
      <c r="F1311" s="2"/>
      <c r="G1311" s="2"/>
      <c r="H1311" s="2"/>
      <c r="I1311" s="2"/>
      <c r="J1311" s="2"/>
      <c r="K1311" s="2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2"/>
      <c r="AA1311" s="2"/>
      <c r="AB1311" s="2"/>
      <c r="AC1311" s="3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</row>
    <row r="1312" spans="2:58">
      <c r="B1312" s="2"/>
      <c r="E1312" s="2"/>
      <c r="F1312" s="2"/>
      <c r="G1312" s="2"/>
      <c r="H1312" s="2"/>
      <c r="I1312" s="2"/>
      <c r="J1312" s="2"/>
      <c r="K1312" s="2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 t="s">
        <v>1023</v>
      </c>
      <c r="Y1312" s="3"/>
      <c r="Z1312" s="2"/>
      <c r="AA1312" s="2"/>
      <c r="AB1312" s="2"/>
      <c r="AC1312" s="3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</row>
    <row r="1313" spans="2:58">
      <c r="B1313" s="2">
        <v>2</v>
      </c>
      <c r="C1313" s="1">
        <v>43727</v>
      </c>
      <c r="E1313" s="2" t="s">
        <v>1020</v>
      </c>
      <c r="F1313" s="2"/>
      <c r="G1313" s="2" t="s">
        <v>1021</v>
      </c>
      <c r="H1313" s="2" t="s">
        <v>1022</v>
      </c>
      <c r="I1313" s="2"/>
      <c r="J1313" s="2">
        <v>2</v>
      </c>
      <c r="K1313" s="2"/>
      <c r="L1313" s="3">
        <v>167</v>
      </c>
      <c r="M1313" s="3">
        <v>16.7</v>
      </c>
      <c r="N1313" s="3">
        <v>8.09</v>
      </c>
      <c r="O1313" s="3"/>
      <c r="P1313" s="3">
        <v>10.02</v>
      </c>
      <c r="Q1313" s="6">
        <f>+L1313-M1313-N1313+P1313</f>
        <v>152.23000000000002</v>
      </c>
      <c r="R1313" s="3"/>
      <c r="S1313" s="3">
        <v>130.38</v>
      </c>
      <c r="T1313" s="3"/>
      <c r="U1313" s="3"/>
      <c r="V1313" s="3"/>
      <c r="W1313" s="3">
        <v>13.04</v>
      </c>
      <c r="X1313" s="2">
        <f>+S1313+T1313+V1313-W1313</f>
        <v>117.34</v>
      </c>
      <c r="Y1313" s="6">
        <f>+Q1313-X1313</f>
        <v>34.890000000000015</v>
      </c>
      <c r="Z1313" s="6">
        <f>+Y1313</f>
        <v>34.890000000000015</v>
      </c>
      <c r="AA1313" s="6">
        <f>+Y1313</f>
        <v>34.890000000000015</v>
      </c>
      <c r="AB1313" s="2"/>
      <c r="AC1313" s="3"/>
      <c r="AD1313" s="2"/>
      <c r="AE1313" s="2"/>
      <c r="AF1313" s="2"/>
      <c r="AG1313" s="2" t="s">
        <v>1026</v>
      </c>
      <c r="AH1313" s="2" t="s">
        <v>1025</v>
      </c>
      <c r="AI1313" s="2" t="s">
        <v>1024</v>
      </c>
      <c r="AJ1313" s="2"/>
      <c r="AK1313" s="2" t="s">
        <v>1027</v>
      </c>
      <c r="AL1313" s="2" t="s">
        <v>4267</v>
      </c>
      <c r="AM1313" s="2"/>
      <c r="AN1313" s="2"/>
      <c r="AO1313" s="2" t="s">
        <v>1019</v>
      </c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</row>
    <row r="1314" spans="2:58">
      <c r="B1314" s="2"/>
      <c r="C1314" s="1">
        <v>43727</v>
      </c>
      <c r="E1314" s="2" t="s">
        <v>928</v>
      </c>
      <c r="F1314" s="2"/>
      <c r="G1314" s="2" t="s">
        <v>1012</v>
      </c>
      <c r="H1314" s="2" t="s">
        <v>1013</v>
      </c>
      <c r="I1314" s="2"/>
      <c r="J1314" s="2">
        <v>1</v>
      </c>
      <c r="K1314" s="2"/>
      <c r="L1314" s="3">
        <v>12.5</v>
      </c>
      <c r="M1314" s="3">
        <v>1.25</v>
      </c>
      <c r="N1314" s="3">
        <v>0.9</v>
      </c>
      <c r="O1314" s="3"/>
      <c r="P1314" s="3">
        <v>1.03</v>
      </c>
      <c r="Q1314" s="6">
        <f>+L1314-M1314-N1314+P1314</f>
        <v>11.379999999999999</v>
      </c>
      <c r="R1314" s="3"/>
      <c r="S1314" s="3">
        <v>9.99</v>
      </c>
      <c r="T1314" s="3">
        <v>0.67</v>
      </c>
      <c r="U1314" s="3"/>
      <c r="V1314" s="3"/>
      <c r="W1314" s="3"/>
      <c r="X1314" s="2">
        <f>+S1314+T1314+V1314-W1314</f>
        <v>10.66</v>
      </c>
      <c r="Y1314" s="6">
        <f>+Q1314-X1314</f>
        <v>0.71999999999999886</v>
      </c>
      <c r="Z1314" s="2"/>
      <c r="AA1314" s="2"/>
      <c r="AB1314" s="2"/>
      <c r="AC1314" s="3"/>
      <c r="AD1314" s="2"/>
      <c r="AE1314" s="2"/>
      <c r="AF1314" s="2"/>
      <c r="AG1314" s="2" t="s">
        <v>1016</v>
      </c>
      <c r="AH1314" s="2" t="s">
        <v>1015</v>
      </c>
      <c r="AI1314" s="2" t="s">
        <v>1014</v>
      </c>
      <c r="AJ1314" s="2"/>
      <c r="AK1314" s="2" t="s">
        <v>1017</v>
      </c>
      <c r="AL1314" s="2"/>
      <c r="AM1314" s="2" t="s">
        <v>1018</v>
      </c>
      <c r="AN1314" s="2"/>
      <c r="AO1314" s="2" t="s">
        <v>1019</v>
      </c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</row>
    <row r="1315" spans="2:58">
      <c r="B1315" s="2"/>
      <c r="E1315" s="2"/>
      <c r="F1315" s="2"/>
      <c r="G1315" s="2"/>
      <c r="H1315" s="2"/>
      <c r="I1315" s="2"/>
      <c r="J1315" s="2"/>
      <c r="K1315" s="2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2"/>
      <c r="AA1315" s="2"/>
      <c r="AB1315" s="2"/>
      <c r="AC1315" s="3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</row>
    <row r="1316" spans="2:58">
      <c r="B1316" s="2">
        <v>1</v>
      </c>
      <c r="C1316" s="1">
        <v>43726</v>
      </c>
      <c r="E1316" s="2" t="s">
        <v>393</v>
      </c>
      <c r="F1316" s="2"/>
      <c r="G1316" s="2" t="s">
        <v>1008</v>
      </c>
      <c r="H1316" s="2" t="s">
        <v>1009</v>
      </c>
      <c r="I1316" s="2"/>
      <c r="J1316" s="2">
        <v>1</v>
      </c>
      <c r="K1316" s="2"/>
      <c r="L1316" s="3">
        <v>56.96</v>
      </c>
      <c r="M1316" s="3">
        <v>5.96</v>
      </c>
      <c r="N1316" s="3">
        <v>2.81</v>
      </c>
      <c r="O1316" s="3"/>
      <c r="P1316" s="3"/>
      <c r="Q1316" s="6">
        <f>+L1316-M1316-N1316+P1316</f>
        <v>48.19</v>
      </c>
      <c r="R1316" s="3"/>
      <c r="S1316" s="3">
        <v>43.98</v>
      </c>
      <c r="T1316" s="3">
        <v>2.25</v>
      </c>
      <c r="U1316" s="3"/>
      <c r="V1316" s="3"/>
      <c r="W1316" s="3"/>
      <c r="X1316" s="2">
        <f>+S1316+T1316+V1316-W1316</f>
        <v>46.23</v>
      </c>
      <c r="Y1316" s="6">
        <f>+Q1316-X1316</f>
        <v>1.9600000000000009</v>
      </c>
      <c r="Z1316" s="2"/>
      <c r="AA1316" s="2"/>
      <c r="AB1316" s="2"/>
      <c r="AC1316" s="3"/>
      <c r="AD1316" s="2"/>
      <c r="AE1316" s="2"/>
      <c r="AF1316" s="2"/>
      <c r="AG1316" s="2" t="s">
        <v>1007</v>
      </c>
      <c r="AH1316" s="2" t="s">
        <v>1006</v>
      </c>
      <c r="AI1316" s="2" t="s">
        <v>1005</v>
      </c>
      <c r="AJ1316" s="2"/>
      <c r="AK1316" s="2" t="s">
        <v>1011</v>
      </c>
      <c r="AL1316" s="2" t="s">
        <v>4268</v>
      </c>
      <c r="AM1316" s="2"/>
      <c r="AN1316" s="2"/>
      <c r="AO1316" s="2" t="s">
        <v>1010</v>
      </c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</row>
    <row r="1317" spans="2:58">
      <c r="B1317" s="2"/>
      <c r="E1317" s="2"/>
      <c r="F1317" s="2"/>
      <c r="G1317" s="2"/>
      <c r="H1317" s="2"/>
      <c r="I1317" s="2"/>
      <c r="J1317" s="2"/>
      <c r="K1317" s="2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2"/>
      <c r="AA1317" s="2"/>
      <c r="AB1317" s="2"/>
      <c r="AC1317" s="3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</row>
    <row r="1318" spans="2:58">
      <c r="B1318" s="2">
        <v>2</v>
      </c>
      <c r="C1318" s="1">
        <v>43725</v>
      </c>
      <c r="E1318" s="2" t="s">
        <v>987</v>
      </c>
      <c r="F1318" s="2"/>
      <c r="G1318" s="2" t="s">
        <v>993</v>
      </c>
      <c r="H1318" s="2" t="s">
        <v>994</v>
      </c>
      <c r="I1318" s="2"/>
      <c r="J1318" s="2">
        <v>1</v>
      </c>
      <c r="K1318" s="2"/>
      <c r="L1318" s="3">
        <v>19.8</v>
      </c>
      <c r="M1318" s="3">
        <v>1.98</v>
      </c>
      <c r="N1318" s="3">
        <v>1.17</v>
      </c>
      <c r="O1318" s="3"/>
      <c r="P1318" s="3"/>
      <c r="Q1318" s="6">
        <f>+L1318-M1318-N1318+P1318</f>
        <v>16.649999999999999</v>
      </c>
      <c r="R1318" s="3"/>
      <c r="S1318" s="3">
        <v>15.85</v>
      </c>
      <c r="T1318" s="3">
        <v>1.27</v>
      </c>
      <c r="U1318" s="3"/>
      <c r="V1318" s="3"/>
      <c r="W1318" s="3"/>
      <c r="X1318" s="2">
        <f>+S1318+T1318+V1318-W1318</f>
        <v>17.12</v>
      </c>
      <c r="Y1318" s="6">
        <f>+Q1318-X1318</f>
        <v>-0.47000000000000242</v>
      </c>
      <c r="Z1318" s="2"/>
      <c r="AA1318" s="2"/>
      <c r="AB1318" s="2" t="s">
        <v>924</v>
      </c>
      <c r="AC1318" s="3"/>
      <c r="AD1318" s="2"/>
      <c r="AE1318" s="2"/>
      <c r="AF1318" s="2"/>
      <c r="AG1318" s="2" t="s">
        <v>983</v>
      </c>
      <c r="AH1318" s="2" t="s">
        <v>996</v>
      </c>
      <c r="AI1318" s="2" t="s">
        <v>995</v>
      </c>
      <c r="AJ1318" s="2"/>
      <c r="AK1318" s="2" t="s">
        <v>997</v>
      </c>
      <c r="AL1318" s="2"/>
      <c r="AM1318" s="2" t="s">
        <v>1000</v>
      </c>
      <c r="AN1318" s="2"/>
      <c r="AO1318" s="2" t="s">
        <v>998</v>
      </c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</row>
    <row r="1319" spans="2:58">
      <c r="B1319" s="2"/>
      <c r="C1319" s="1">
        <v>43725</v>
      </c>
      <c r="E1319" s="2" t="s">
        <v>986</v>
      </c>
      <c r="F1319" s="2"/>
      <c r="G1319" s="2" t="s">
        <v>988</v>
      </c>
      <c r="H1319" s="2" t="s">
        <v>989</v>
      </c>
      <c r="I1319" s="2"/>
      <c r="J1319" s="2">
        <v>1</v>
      </c>
      <c r="K1319" s="2"/>
      <c r="L1319" s="3">
        <v>42.8</v>
      </c>
      <c r="M1319" s="3">
        <v>4.28</v>
      </c>
      <c r="N1319" s="3">
        <v>2.2999999999999998</v>
      </c>
      <c r="O1319" s="3"/>
      <c r="P1319" s="3">
        <v>2.57</v>
      </c>
      <c r="Q1319" s="6">
        <f>+L1319-M1319-N1319+P1319</f>
        <v>38.79</v>
      </c>
      <c r="R1319" s="3"/>
      <c r="S1319" s="3">
        <v>31.99</v>
      </c>
      <c r="T1319" s="3">
        <v>1.76</v>
      </c>
      <c r="U1319" s="3"/>
      <c r="V1319" s="3"/>
      <c r="W1319" s="3"/>
      <c r="X1319" s="2">
        <f>+S1319+T1319+V1319-W1319</f>
        <v>33.75</v>
      </c>
      <c r="Y1319" s="6">
        <f>+Q1319-X1319</f>
        <v>5.0399999999999991</v>
      </c>
      <c r="Z1319" s="2"/>
      <c r="AA1319" s="2" t="s">
        <v>924</v>
      </c>
      <c r="AB1319" s="2"/>
      <c r="AC1319" s="3"/>
      <c r="AD1319" s="2"/>
      <c r="AE1319" s="2"/>
      <c r="AF1319" s="2"/>
      <c r="AG1319" s="2" t="s">
        <v>992</v>
      </c>
      <c r="AH1319" s="2" t="s">
        <v>991</v>
      </c>
      <c r="AI1319" s="2" t="s">
        <v>990</v>
      </c>
      <c r="AJ1319" s="2"/>
      <c r="AK1319" s="2" t="s">
        <v>1001</v>
      </c>
      <c r="AL1319" s="2"/>
      <c r="AM1319" s="2" t="s">
        <v>1002</v>
      </c>
      <c r="AN1319" s="2"/>
      <c r="AO1319" s="2" t="s">
        <v>999</v>
      </c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</row>
    <row r="1320" spans="2:58">
      <c r="B1320" s="2"/>
      <c r="E1320" s="2" t="s">
        <v>924</v>
      </c>
      <c r="F1320" s="2"/>
      <c r="G1320" s="2"/>
      <c r="H1320" s="2"/>
      <c r="I1320" s="2"/>
      <c r="J1320" s="2"/>
      <c r="K1320" s="2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2"/>
      <c r="AA1320" s="2"/>
      <c r="AB1320" s="2"/>
      <c r="AC1320" s="3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</row>
    <row r="1321" spans="2:58">
      <c r="B1321" s="2">
        <v>3</v>
      </c>
      <c r="C1321" s="1">
        <v>43724</v>
      </c>
      <c r="E1321" s="2" t="s">
        <v>178</v>
      </c>
      <c r="F1321" s="2"/>
      <c r="G1321" s="2" t="s">
        <v>980</v>
      </c>
      <c r="H1321" s="2" t="s">
        <v>3089</v>
      </c>
      <c r="I1321" s="2"/>
      <c r="J1321" s="2">
        <v>2</v>
      </c>
      <c r="K1321" s="2"/>
      <c r="L1321" s="3">
        <v>51.6</v>
      </c>
      <c r="M1321" s="3">
        <v>5.16</v>
      </c>
      <c r="N1321" s="3">
        <v>2.57</v>
      </c>
      <c r="O1321" s="3"/>
      <c r="P1321" s="3"/>
      <c r="Q1321" s="6">
        <f>+L1321-M1321-N1321+P1321</f>
        <v>43.87</v>
      </c>
      <c r="R1321" s="3"/>
      <c r="S1321" s="3">
        <v>42.98</v>
      </c>
      <c r="T1321" s="3">
        <v>3.44</v>
      </c>
      <c r="U1321" s="3"/>
      <c r="V1321" s="3"/>
      <c r="W1321" s="3"/>
      <c r="X1321" s="2">
        <f>+S1321+T1321+V1321-W1321</f>
        <v>46.419999999999995</v>
      </c>
      <c r="Y1321" s="6">
        <f>+Q1321-X1321</f>
        <v>-2.5499999999999972</v>
      </c>
      <c r="Z1321" s="2"/>
      <c r="AA1321" s="2"/>
      <c r="AB1321" s="2"/>
      <c r="AC1321" s="3"/>
      <c r="AD1321" s="2"/>
      <c r="AE1321" s="2"/>
      <c r="AF1321" s="2"/>
      <c r="AG1321" s="2" t="s">
        <v>983</v>
      </c>
      <c r="AH1321" s="2" t="s">
        <v>982</v>
      </c>
      <c r="AI1321" s="2" t="s">
        <v>981</v>
      </c>
      <c r="AJ1321" s="2"/>
      <c r="AK1321" s="2"/>
      <c r="AL1321" s="2" t="s">
        <v>4263</v>
      </c>
      <c r="AM1321" s="2" t="s">
        <v>924</v>
      </c>
      <c r="AN1321" s="2"/>
      <c r="AO1321" s="2" t="s">
        <v>924</v>
      </c>
      <c r="AP1321" s="2" t="s">
        <v>984</v>
      </c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</row>
    <row r="1322" spans="2:58">
      <c r="B1322" s="2"/>
      <c r="C1322" s="1">
        <v>43724</v>
      </c>
      <c r="E1322" s="2" t="s">
        <v>61</v>
      </c>
      <c r="F1322" s="2"/>
      <c r="G1322" s="2" t="s">
        <v>962</v>
      </c>
      <c r="H1322" s="2" t="s">
        <v>963</v>
      </c>
      <c r="I1322" s="2"/>
      <c r="J1322" s="2">
        <v>1</v>
      </c>
      <c r="K1322" s="2"/>
      <c r="L1322" s="3">
        <v>35.799999999999997</v>
      </c>
      <c r="M1322" s="3">
        <v>3.58</v>
      </c>
      <c r="N1322" s="3">
        <v>1.99</v>
      </c>
      <c r="O1322" s="3"/>
      <c r="P1322" s="3">
        <v>2.5099999999999998</v>
      </c>
      <c r="Q1322" s="6">
        <f>+L1322-M1322-N1322+P1322</f>
        <v>32.74</v>
      </c>
      <c r="R1322" s="3"/>
      <c r="S1322" s="3">
        <v>25.98</v>
      </c>
      <c r="T1322" s="3"/>
      <c r="U1322" s="3"/>
      <c r="V1322" s="3"/>
      <c r="W1322" s="3"/>
      <c r="X1322" s="2">
        <f>+S1322+T1322+V1322-W1322</f>
        <v>25.98</v>
      </c>
      <c r="Y1322" s="6">
        <f>+Q1322-X1322</f>
        <v>6.7600000000000016</v>
      </c>
      <c r="Z1322" s="2"/>
      <c r="AA1322" s="2"/>
      <c r="AB1322" s="2"/>
      <c r="AC1322" s="3"/>
      <c r="AD1322" s="2"/>
      <c r="AE1322" s="2"/>
      <c r="AF1322" s="2"/>
      <c r="AG1322" s="2" t="s">
        <v>969</v>
      </c>
      <c r="AH1322" s="2" t="s">
        <v>968</v>
      </c>
      <c r="AI1322" s="2" t="s">
        <v>967</v>
      </c>
      <c r="AJ1322" s="2"/>
      <c r="AK1322" s="2" t="s">
        <v>965</v>
      </c>
      <c r="AL1322" s="2" t="s">
        <v>4263</v>
      </c>
      <c r="AM1322" s="2" t="s">
        <v>978</v>
      </c>
      <c r="AN1322" s="2" t="s">
        <v>924</v>
      </c>
      <c r="AO1322" s="10" t="s">
        <v>964</v>
      </c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</row>
    <row r="1323" spans="2:58">
      <c r="B1323" s="2"/>
      <c r="C1323" s="1">
        <v>43724</v>
      </c>
      <c r="E1323" s="2" t="s">
        <v>178</v>
      </c>
      <c r="F1323" s="2"/>
      <c r="G1323" s="2" t="s">
        <v>961</v>
      </c>
      <c r="H1323" s="12" t="s">
        <v>1004</v>
      </c>
      <c r="I1323" s="2"/>
      <c r="J1323" s="2">
        <v>1</v>
      </c>
      <c r="K1323" s="2"/>
      <c r="L1323" s="3">
        <v>25.6</v>
      </c>
      <c r="M1323" s="3">
        <v>2.56</v>
      </c>
      <c r="N1323" s="3">
        <v>1.43</v>
      </c>
      <c r="O1323" s="3"/>
      <c r="P1323" s="3">
        <v>0</v>
      </c>
      <c r="Q1323" s="6">
        <f>+L1323-M1323-N1323+P1323</f>
        <v>21.610000000000003</v>
      </c>
      <c r="R1323" s="3"/>
      <c r="S1323" s="3">
        <v>26.22</v>
      </c>
      <c r="T1323" s="3">
        <v>1.84</v>
      </c>
      <c r="U1323" s="3"/>
      <c r="V1323" s="3"/>
      <c r="W1323" s="3"/>
      <c r="X1323" s="2">
        <f>+S1323+T1323+V1323-W1323</f>
        <v>28.06</v>
      </c>
      <c r="Y1323" s="6">
        <f>+Q1323-X1323</f>
        <v>-6.4499999999999957</v>
      </c>
      <c r="Z1323" s="2"/>
      <c r="AA1323" s="2"/>
      <c r="AB1323" s="2"/>
      <c r="AC1323" s="3"/>
      <c r="AD1323" s="2"/>
      <c r="AE1323" s="2"/>
      <c r="AF1323" s="2"/>
      <c r="AG1323" s="2" t="s">
        <v>958</v>
      </c>
      <c r="AH1323" s="2" t="s">
        <v>960</v>
      </c>
      <c r="AI1323" s="2" t="s">
        <v>959</v>
      </c>
      <c r="AJ1323" s="2"/>
      <c r="AK1323" s="2" t="s">
        <v>977</v>
      </c>
      <c r="AL1323" s="2" t="s">
        <v>4263</v>
      </c>
      <c r="AM1323" s="2" t="s">
        <v>979</v>
      </c>
      <c r="AN1323" s="2" t="s">
        <v>924</v>
      </c>
      <c r="AO1323" s="2" t="s">
        <v>976</v>
      </c>
      <c r="AP1323" s="12" t="s">
        <v>1003</v>
      </c>
      <c r="AQ1323" s="1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</row>
    <row r="1324" spans="2:58">
      <c r="B1324" s="2"/>
      <c r="C1324" s="1"/>
      <c r="E1324" s="2"/>
      <c r="F1324" s="2"/>
      <c r="G1324" s="2"/>
      <c r="H1324" s="2"/>
      <c r="I1324" s="2"/>
      <c r="J1324" s="2"/>
      <c r="K1324" s="2"/>
      <c r="L1324" s="3"/>
      <c r="M1324" s="3"/>
      <c r="N1324" s="3"/>
      <c r="O1324" s="3"/>
      <c r="P1324" s="3"/>
      <c r="Q1324" s="6"/>
      <c r="R1324" s="3"/>
      <c r="S1324" s="3"/>
      <c r="T1324" s="3"/>
      <c r="U1324" s="3"/>
      <c r="V1324" s="3"/>
      <c r="W1324" s="3"/>
      <c r="X1324" s="3"/>
      <c r="Y1324" s="3"/>
      <c r="Z1324" s="2"/>
      <c r="AA1324" s="2"/>
      <c r="AB1324" s="2"/>
      <c r="AC1324" s="3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</row>
    <row r="1325" spans="2:58">
      <c r="B1325" s="2">
        <v>1</v>
      </c>
      <c r="C1325" s="1">
        <v>43723</v>
      </c>
      <c r="E1325" s="2" t="s">
        <v>928</v>
      </c>
      <c r="F1325" s="2"/>
      <c r="G1325" s="2" t="s">
        <v>955</v>
      </c>
      <c r="H1325" s="2" t="s">
        <v>956</v>
      </c>
      <c r="I1325" s="2"/>
      <c r="J1325" s="2">
        <v>1</v>
      </c>
      <c r="K1325" s="2"/>
      <c r="L1325" s="3">
        <v>12.2</v>
      </c>
      <c r="M1325" s="3">
        <v>1.22</v>
      </c>
      <c r="N1325" s="3">
        <v>0.89</v>
      </c>
      <c r="O1325" s="3"/>
      <c r="P1325" s="3">
        <v>1.1100000000000001</v>
      </c>
      <c r="Q1325" s="6">
        <f>+L1325-M1325-N1325+P1325</f>
        <v>11.199999999999998</v>
      </c>
      <c r="R1325" s="3"/>
      <c r="S1325" s="3">
        <v>9.99</v>
      </c>
      <c r="T1325" s="3">
        <v>0.42</v>
      </c>
      <c r="U1325" s="3"/>
      <c r="V1325" s="3"/>
      <c r="W1325" s="3"/>
      <c r="X1325" s="2">
        <f>+S1325+T1325+V1325-W1325</f>
        <v>10.41</v>
      </c>
      <c r="Y1325" s="6">
        <f>+Q1325-X1325</f>
        <v>0.78999999999999737</v>
      </c>
      <c r="Z1325" s="2"/>
      <c r="AA1325" s="2"/>
      <c r="AB1325" s="2"/>
      <c r="AC1325" s="3"/>
      <c r="AD1325" s="2"/>
      <c r="AE1325" s="2"/>
      <c r="AF1325" s="2"/>
      <c r="AG1325" s="2" t="s">
        <v>954</v>
      </c>
      <c r="AH1325" s="2" t="s">
        <v>953</v>
      </c>
      <c r="AI1325" s="2" t="s">
        <v>952</v>
      </c>
      <c r="AJ1325" s="2"/>
      <c r="AK1325" s="2" t="s">
        <v>951</v>
      </c>
      <c r="AL1325" s="2" t="s">
        <v>4269</v>
      </c>
      <c r="AM1325" s="2"/>
      <c r="AN1325" s="2"/>
      <c r="AO1325" s="2" t="s">
        <v>950</v>
      </c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</row>
    <row r="1326" spans="2:58">
      <c r="B1326" s="2"/>
      <c r="E1326" s="2"/>
      <c r="F1326" s="2"/>
      <c r="G1326" s="2"/>
      <c r="H1326" s="2"/>
      <c r="I1326" s="2"/>
      <c r="J1326" s="2"/>
      <c r="K1326" s="2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2"/>
      <c r="AA1326" s="2"/>
      <c r="AB1326" s="2"/>
      <c r="AC1326" s="3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</row>
    <row r="1327" spans="2:58">
      <c r="B1327" s="2">
        <v>4</v>
      </c>
      <c r="C1327" s="1">
        <v>43722</v>
      </c>
      <c r="E1327" s="2" t="s">
        <v>531</v>
      </c>
      <c r="F1327" s="2"/>
      <c r="G1327" s="2" t="s">
        <v>948</v>
      </c>
      <c r="H1327" s="2" t="s">
        <v>949</v>
      </c>
      <c r="I1327" s="2"/>
      <c r="J1327" s="2">
        <v>1</v>
      </c>
      <c r="K1327" s="2"/>
      <c r="L1327" s="3">
        <v>12.25</v>
      </c>
      <c r="M1327" s="3">
        <v>1.22</v>
      </c>
      <c r="N1327" s="3">
        <v>0.86</v>
      </c>
      <c r="O1327" s="3"/>
      <c r="P1327" s="3">
        <v>0.55000000000000004</v>
      </c>
      <c r="Q1327" s="6">
        <f>+L1327-M1327-N1327+P1327</f>
        <v>10.72</v>
      </c>
      <c r="R1327" s="3"/>
      <c r="S1327" s="3">
        <v>7.99</v>
      </c>
      <c r="T1327" s="3"/>
      <c r="U1327" s="3"/>
      <c r="V1327" s="3"/>
      <c r="W1327" s="3"/>
      <c r="X1327" s="2">
        <f>+S1327+T1327+V1327-W1327</f>
        <v>7.99</v>
      </c>
      <c r="Y1327" s="6">
        <f>+Q1327-X1327</f>
        <v>2.7300000000000004</v>
      </c>
      <c r="Z1327" s="2" t="s">
        <v>924</v>
      </c>
      <c r="AA1327" s="2"/>
      <c r="AB1327" s="2"/>
      <c r="AC1327" s="3"/>
      <c r="AD1327" s="2"/>
      <c r="AE1327" s="2"/>
      <c r="AF1327" s="2"/>
      <c r="AG1327" s="2" t="s">
        <v>947</v>
      </c>
      <c r="AH1327" s="2" t="s">
        <v>946</v>
      </c>
      <c r="AI1327" s="2" t="s">
        <v>945</v>
      </c>
      <c r="AJ1327" s="2"/>
      <c r="AK1327" s="2" t="s">
        <v>944</v>
      </c>
      <c r="AL1327" s="2" t="s">
        <v>4270</v>
      </c>
      <c r="AM1327" s="2"/>
      <c r="AN1327" s="2"/>
      <c r="AO1327" s="2" t="s">
        <v>943</v>
      </c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</row>
    <row r="1328" spans="2:58">
      <c r="B1328" s="2"/>
      <c r="C1328" s="1">
        <v>43722</v>
      </c>
      <c r="E1328" s="2" t="s">
        <v>393</v>
      </c>
      <c r="F1328" s="2"/>
      <c r="G1328" s="2" t="s">
        <v>936</v>
      </c>
      <c r="H1328" s="2" t="s">
        <v>937</v>
      </c>
      <c r="I1328" s="2"/>
      <c r="J1328" s="2">
        <v>1</v>
      </c>
      <c r="K1328" s="2"/>
      <c r="L1328" s="3">
        <v>58.86</v>
      </c>
      <c r="M1328" s="3">
        <v>5.88</v>
      </c>
      <c r="N1328" s="3">
        <v>3.12</v>
      </c>
      <c r="O1328" s="3"/>
      <c r="P1328" s="3">
        <v>5.3</v>
      </c>
      <c r="Q1328" s="6">
        <f>+L1328-M1328-N1328+P1328</f>
        <v>55.16</v>
      </c>
      <c r="R1328" s="3"/>
      <c r="S1328" s="3">
        <v>43.98</v>
      </c>
      <c r="T1328" s="3"/>
      <c r="U1328" s="3"/>
      <c r="V1328" s="3"/>
      <c r="W1328" s="3"/>
      <c r="X1328" s="2">
        <f>+S1328+T1328+V1328-W1328</f>
        <v>43.98</v>
      </c>
      <c r="Y1328" s="6">
        <f>+Q1328-X1328</f>
        <v>11.18</v>
      </c>
      <c r="Z1328" s="2"/>
      <c r="AA1328" s="2"/>
      <c r="AB1328" s="2"/>
      <c r="AC1328" s="3"/>
      <c r="AD1328" s="2"/>
      <c r="AE1328" s="2"/>
      <c r="AF1328" s="2"/>
      <c r="AG1328" s="2" t="s">
        <v>941</v>
      </c>
      <c r="AH1328" s="2" t="s">
        <v>940</v>
      </c>
      <c r="AI1328" s="2" t="s">
        <v>939</v>
      </c>
      <c r="AJ1328" s="2"/>
      <c r="AK1328" s="2" t="s">
        <v>942</v>
      </c>
      <c r="AL1328" s="2" t="s">
        <v>4271</v>
      </c>
      <c r="AM1328" s="2"/>
      <c r="AN1328" s="2"/>
      <c r="AO1328" s="11" t="s">
        <v>938</v>
      </c>
      <c r="AP1328" s="2" t="s">
        <v>985</v>
      </c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</row>
    <row r="1329" spans="2:58">
      <c r="B1329" s="2"/>
      <c r="C1329" s="1">
        <v>43722</v>
      </c>
      <c r="E1329" s="2" t="s">
        <v>928</v>
      </c>
      <c r="F1329" s="2"/>
      <c r="G1329" s="2" t="s">
        <v>929</v>
      </c>
      <c r="H1329" s="2" t="s">
        <v>930</v>
      </c>
      <c r="I1329" s="2"/>
      <c r="J1329" s="2">
        <v>1</v>
      </c>
      <c r="K1329" s="2"/>
      <c r="L1329" s="3">
        <v>11.9</v>
      </c>
      <c r="M1329" s="3">
        <v>1.19</v>
      </c>
      <c r="N1329" s="3">
        <v>0.82</v>
      </c>
      <c r="O1329" s="3"/>
      <c r="P1329" s="3"/>
      <c r="Q1329" s="6">
        <f>+L1329-M1329-N1329+P1329</f>
        <v>9.89</v>
      </c>
      <c r="R1329" s="3"/>
      <c r="S1329" s="3">
        <v>9.99</v>
      </c>
      <c r="T1329" s="3">
        <v>0.89</v>
      </c>
      <c r="U1329" s="3"/>
      <c r="V1329" s="3"/>
      <c r="W1329" s="3"/>
      <c r="X1329" s="2">
        <f>+S1329+T1329+V1329-W1329</f>
        <v>10.88</v>
      </c>
      <c r="Y1329" s="6">
        <f>+Q1329-X1329</f>
        <v>-0.99000000000000021</v>
      </c>
      <c r="Z1329" s="2"/>
      <c r="AA1329" s="2"/>
      <c r="AB1329" s="2"/>
      <c r="AC1329" s="3"/>
      <c r="AD1329" s="2"/>
      <c r="AE1329" s="2"/>
      <c r="AF1329" s="2"/>
      <c r="AG1329" s="2" t="s">
        <v>931</v>
      </c>
      <c r="AH1329" s="2" t="s">
        <v>933</v>
      </c>
      <c r="AI1329" s="2" t="s">
        <v>932</v>
      </c>
      <c r="AJ1329" s="2"/>
      <c r="AK1329" s="2" t="s">
        <v>934</v>
      </c>
      <c r="AL1329" s="2" t="s">
        <v>4272</v>
      </c>
      <c r="AM1329" s="2"/>
      <c r="AN1329" s="2"/>
      <c r="AO1329" s="2" t="s">
        <v>935</v>
      </c>
      <c r="AP1329" s="2" t="s">
        <v>957</v>
      </c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</row>
    <row r="1330" spans="2:58">
      <c r="B1330" s="2"/>
      <c r="C1330" s="1">
        <v>43722</v>
      </c>
      <c r="E1330" s="2" t="s">
        <v>927</v>
      </c>
      <c r="F1330" s="2"/>
      <c r="G1330" s="2" t="s">
        <v>970</v>
      </c>
      <c r="H1330" s="2" t="s">
        <v>3088</v>
      </c>
      <c r="I1330" s="2"/>
      <c r="J1330" s="2">
        <v>1</v>
      </c>
      <c r="K1330" s="2"/>
      <c r="L1330" s="3">
        <v>34.5</v>
      </c>
      <c r="M1330" s="3">
        <v>3.45</v>
      </c>
      <c r="N1330" s="3">
        <v>1.95</v>
      </c>
      <c r="O1330" s="3"/>
      <c r="P1330" s="3">
        <v>3.11</v>
      </c>
      <c r="Q1330" s="3">
        <f>+L1330-M1330-N1330+P1330</f>
        <v>32.21</v>
      </c>
      <c r="R1330" s="3"/>
      <c r="S1330" s="3">
        <v>26.99</v>
      </c>
      <c r="T1330" s="3"/>
      <c r="U1330" s="3"/>
      <c r="V1330" s="3">
        <v>0</v>
      </c>
      <c r="W1330" s="3">
        <v>0</v>
      </c>
      <c r="X1330" s="2">
        <f>+S1330+T1330+V1330-W1330</f>
        <v>26.99</v>
      </c>
      <c r="Y1330" s="6">
        <f>+Q1330-X1330</f>
        <v>5.2200000000000024</v>
      </c>
      <c r="Z1330" s="2"/>
      <c r="AA1330" s="2"/>
      <c r="AB1330" s="2"/>
      <c r="AC1330" s="3"/>
      <c r="AD1330" s="2"/>
      <c r="AE1330" s="2"/>
      <c r="AF1330" s="2"/>
      <c r="AG1330" s="2" t="s">
        <v>973</v>
      </c>
      <c r="AH1330" s="2" t="s">
        <v>972</v>
      </c>
      <c r="AI1330" s="2" t="s">
        <v>971</v>
      </c>
      <c r="AJ1330" s="2"/>
      <c r="AK1330" s="2" t="s">
        <v>975</v>
      </c>
      <c r="AL1330" s="2"/>
      <c r="AM1330" s="2"/>
      <c r="AN1330" s="2"/>
      <c r="AO1330" s="2"/>
      <c r="AP1330" s="2" t="s">
        <v>974</v>
      </c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</row>
    <row r="1331" spans="2:58">
      <c r="B1331" s="2"/>
      <c r="E1331" s="2"/>
      <c r="F1331" s="2"/>
      <c r="G1331" s="2"/>
      <c r="H1331" s="2"/>
      <c r="I1331" s="2"/>
      <c r="J1331" s="2"/>
      <c r="K1331" s="2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2"/>
      <c r="AA1331" s="2"/>
      <c r="AB1331" s="2"/>
      <c r="AC1331" s="3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</row>
    <row r="1332" spans="2:58">
      <c r="B1332" s="2">
        <v>2</v>
      </c>
      <c r="C1332" s="1">
        <v>43721</v>
      </c>
      <c r="E1332" s="2" t="s">
        <v>874</v>
      </c>
      <c r="F1332" s="2"/>
      <c r="G1332" s="2" t="s">
        <v>919</v>
      </c>
      <c r="H1332" s="2" t="s">
        <v>920</v>
      </c>
      <c r="I1332" s="2"/>
      <c r="J1332" s="2">
        <v>1</v>
      </c>
      <c r="K1332" s="2"/>
      <c r="L1332" s="3">
        <v>44.7</v>
      </c>
      <c r="M1332" s="3">
        <v>4.47</v>
      </c>
      <c r="N1332" s="3">
        <v>2.44</v>
      </c>
      <c r="O1332" s="3"/>
      <c r="P1332" s="3">
        <v>4.0199999999999996</v>
      </c>
      <c r="Q1332" s="6">
        <f>+L1332-M1332-N1332+P1332</f>
        <v>41.81</v>
      </c>
      <c r="R1332" s="3"/>
      <c r="S1332" s="3">
        <v>34.99</v>
      </c>
      <c r="T1332" s="3"/>
      <c r="U1332" s="3"/>
      <c r="V1332" s="3">
        <v>1.34</v>
      </c>
      <c r="W1332" s="3">
        <v>0</v>
      </c>
      <c r="X1332" s="2">
        <f>+S1332+T1332+V1332-W1332</f>
        <v>36.330000000000005</v>
      </c>
      <c r="Y1332" s="6">
        <f>+Q1332-X1332</f>
        <v>5.4799999999999969</v>
      </c>
      <c r="Z1332" s="2"/>
      <c r="AA1332" s="2"/>
      <c r="AB1332" s="2"/>
      <c r="AC1332" s="3"/>
      <c r="AD1332" s="2"/>
      <c r="AE1332" s="2"/>
      <c r="AF1332" s="2"/>
      <c r="AG1332" s="2" t="s">
        <v>918</v>
      </c>
      <c r="AH1332" s="2" t="s">
        <v>917</v>
      </c>
      <c r="AI1332" s="2" t="s">
        <v>916</v>
      </c>
      <c r="AJ1332" s="2"/>
      <c r="AK1332" s="2" t="s">
        <v>926</v>
      </c>
      <c r="AL1332" s="2" t="s">
        <v>4273</v>
      </c>
      <c r="AM1332" s="2"/>
      <c r="AN1332" s="2"/>
      <c r="AO1332" s="11" t="s">
        <v>925</v>
      </c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</row>
    <row r="1333" spans="2:58">
      <c r="B1333" s="2"/>
      <c r="C1333" s="1">
        <v>43721</v>
      </c>
      <c r="E1333" s="2" t="s">
        <v>61</v>
      </c>
      <c r="F1333" s="2"/>
      <c r="G1333" s="2" t="s">
        <v>912</v>
      </c>
      <c r="H1333" s="2" t="s">
        <v>913</v>
      </c>
      <c r="I1333" s="2"/>
      <c r="J1333" s="2">
        <v>1</v>
      </c>
      <c r="K1333" s="2"/>
      <c r="L1333" s="3">
        <v>35.799999999999997</v>
      </c>
      <c r="M1333" s="3">
        <v>3.58</v>
      </c>
      <c r="N1333" s="3">
        <v>1.88</v>
      </c>
      <c r="O1333" s="3"/>
      <c r="P1333" s="3"/>
      <c r="Q1333" s="6">
        <f>+L1333-M1333-N1333+P1333</f>
        <v>30.34</v>
      </c>
      <c r="R1333" s="3"/>
      <c r="S1333" s="3">
        <v>25.98</v>
      </c>
      <c r="T1333" s="3">
        <v>1.56</v>
      </c>
      <c r="U1333" s="3"/>
      <c r="V1333" s="3"/>
      <c r="W1333" s="3"/>
      <c r="X1333" s="2">
        <f>+S1333+T1333-W1333</f>
        <v>27.54</v>
      </c>
      <c r="Y1333" s="6">
        <f>+Q1333-X1333</f>
        <v>2.8000000000000007</v>
      </c>
      <c r="Z1333" s="2"/>
      <c r="AA1333" s="2"/>
      <c r="AB1333" s="2"/>
      <c r="AC1333" s="3"/>
      <c r="AD1333" s="2"/>
      <c r="AE1333" s="2"/>
      <c r="AF1333" s="2"/>
      <c r="AG1333" s="2" t="s">
        <v>911</v>
      </c>
      <c r="AH1333" s="4" t="s">
        <v>910</v>
      </c>
      <c r="AI1333" s="2" t="s">
        <v>909</v>
      </c>
      <c r="AJ1333" s="2"/>
      <c r="AK1333" s="2" t="s">
        <v>915</v>
      </c>
      <c r="AL1333" s="2" t="s">
        <v>4274</v>
      </c>
      <c r="AM1333" s="2"/>
      <c r="AN1333" s="2"/>
      <c r="AO1333" s="10" t="s">
        <v>914</v>
      </c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</row>
    <row r="1334" spans="2:58">
      <c r="B1334" s="2"/>
      <c r="E1334" s="2"/>
      <c r="F1334" s="2"/>
      <c r="G1334" s="2"/>
      <c r="H1334" s="2"/>
      <c r="I1334" s="2"/>
      <c r="J1334" s="2"/>
      <c r="K1334" s="2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 t="s">
        <v>747</v>
      </c>
      <c r="Y1334" s="3"/>
      <c r="Z1334" s="2"/>
      <c r="AA1334" s="2"/>
      <c r="AB1334" s="2"/>
      <c r="AC1334" s="3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</row>
    <row r="1335" spans="2:58">
      <c r="B1335" s="2">
        <v>1</v>
      </c>
      <c r="C1335" s="1">
        <v>43720</v>
      </c>
      <c r="E1335" s="2" t="s">
        <v>894</v>
      </c>
      <c r="F1335" s="2"/>
      <c r="G1335" s="2" t="s">
        <v>904</v>
      </c>
      <c r="H1335" s="2" t="s">
        <v>905</v>
      </c>
      <c r="I1335" s="2"/>
      <c r="J1335" s="2">
        <v>1</v>
      </c>
      <c r="K1335" s="2"/>
      <c r="L1335" s="3">
        <v>35.799999999999997</v>
      </c>
      <c r="M1335" s="3">
        <v>3.58</v>
      </c>
      <c r="N1335" s="3">
        <v>1.88</v>
      </c>
      <c r="O1335" s="3"/>
      <c r="P1335" s="3"/>
      <c r="Q1335" s="6">
        <f>+L1335-M1335-N1335+P1335</f>
        <v>30.34</v>
      </c>
      <c r="R1335" s="3"/>
      <c r="S1335" s="3">
        <v>25.98</v>
      </c>
      <c r="T1335" s="3">
        <v>1.56</v>
      </c>
      <c r="U1335" s="3"/>
      <c r="V1335" s="3"/>
      <c r="W1335" s="3"/>
      <c r="X1335" s="2">
        <f>+S1335+T1335-W1335</f>
        <v>27.54</v>
      </c>
      <c r="Y1335" s="6">
        <f>+Q1335-X1335</f>
        <v>2.8000000000000007</v>
      </c>
      <c r="Z1335" s="2"/>
      <c r="AA1335" s="2"/>
      <c r="AB1335" s="2"/>
      <c r="AC1335" s="3"/>
      <c r="AD1335" s="2"/>
      <c r="AE1335" s="2"/>
      <c r="AF1335" s="2"/>
      <c r="AG1335" s="2" t="s">
        <v>903</v>
      </c>
      <c r="AH1335" s="2" t="s">
        <v>902</v>
      </c>
      <c r="AI1335" s="2" t="s">
        <v>901</v>
      </c>
      <c r="AJ1335" s="2"/>
      <c r="AK1335" s="2" t="s">
        <v>907</v>
      </c>
      <c r="AL1335" s="2" t="s">
        <v>4275</v>
      </c>
      <c r="AM1335" s="2"/>
      <c r="AN1335" s="2"/>
      <c r="AO1335" s="11" t="s">
        <v>906</v>
      </c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</row>
    <row r="1336" spans="2:58">
      <c r="B1336" s="2"/>
      <c r="C1336" s="1" t="s">
        <v>886</v>
      </c>
      <c r="E1336" s="2"/>
      <c r="F1336" s="2"/>
      <c r="H1336" s="2"/>
      <c r="I1336" s="2"/>
      <c r="J1336" s="2"/>
      <c r="K1336" s="2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 t="s">
        <v>747</v>
      </c>
      <c r="Y1336" s="3"/>
      <c r="Z1336" s="2"/>
      <c r="AA1336" s="2"/>
      <c r="AB1336" s="2"/>
      <c r="AC1336" s="3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</row>
    <row r="1337" spans="2:58">
      <c r="B1337" s="2">
        <v>4</v>
      </c>
      <c r="C1337" s="1">
        <v>43719</v>
      </c>
      <c r="E1337" s="2" t="s">
        <v>178</v>
      </c>
      <c r="F1337" s="2"/>
      <c r="G1337" s="2" t="s">
        <v>890</v>
      </c>
      <c r="H1337" s="2" t="s">
        <v>891</v>
      </c>
      <c r="I1337" s="2"/>
      <c r="J1337" s="2">
        <v>1</v>
      </c>
      <c r="K1337" s="2"/>
      <c r="L1337" s="3">
        <v>25.6</v>
      </c>
      <c r="M1337" s="3">
        <v>2.56</v>
      </c>
      <c r="N1337" s="3">
        <v>1.53</v>
      </c>
      <c r="O1337" s="3"/>
      <c r="P1337" s="3">
        <v>2.2999999999999998</v>
      </c>
      <c r="Q1337" s="6">
        <f>+L1337-M1337-N1337+P1337</f>
        <v>23.810000000000002</v>
      </c>
      <c r="R1337" s="3"/>
      <c r="S1337" s="3">
        <v>14.98</v>
      </c>
      <c r="T1337" s="3">
        <v>1.0900000000000001</v>
      </c>
      <c r="U1337" s="3"/>
      <c r="V1337" s="3"/>
      <c r="W1337" s="3"/>
      <c r="X1337" s="2">
        <f>+S1337+T1337-W1337</f>
        <v>16.07</v>
      </c>
      <c r="Y1337" s="6">
        <f>+Q1337-X1337</f>
        <v>7.740000000000002</v>
      </c>
      <c r="Z1337" s="2"/>
      <c r="AA1337" s="2"/>
      <c r="AB1337" s="2"/>
      <c r="AC1337" s="3"/>
      <c r="AD1337" s="2"/>
      <c r="AE1337" s="2"/>
      <c r="AF1337" s="2"/>
      <c r="AG1337" s="2" t="s">
        <v>765</v>
      </c>
      <c r="AH1337" s="2" t="s">
        <v>888</v>
      </c>
      <c r="AI1337" s="2" t="s">
        <v>887</v>
      </c>
      <c r="AJ1337" s="2"/>
      <c r="AK1337" s="2" t="s">
        <v>889</v>
      </c>
      <c r="AL1337" s="2" t="s">
        <v>4276</v>
      </c>
      <c r="AM1337" s="2"/>
      <c r="AN1337" s="2"/>
      <c r="AO1337" s="9" t="s">
        <v>892</v>
      </c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</row>
    <row r="1338" spans="2:58">
      <c r="B1338" s="2"/>
      <c r="C1338" s="1">
        <v>43719</v>
      </c>
      <c r="E1338" s="2" t="s">
        <v>893</v>
      </c>
      <c r="F1338" s="2"/>
      <c r="G1338" s="2" t="s">
        <v>897</v>
      </c>
      <c r="H1338" s="2" t="s">
        <v>898</v>
      </c>
      <c r="I1338" s="2"/>
      <c r="J1338" s="2">
        <v>1</v>
      </c>
      <c r="K1338" s="2"/>
      <c r="L1338" s="3">
        <v>28.45</v>
      </c>
      <c r="M1338" s="3">
        <v>2.84</v>
      </c>
      <c r="N1338" s="3">
        <v>1.66</v>
      </c>
      <c r="O1338" s="3"/>
      <c r="P1338" s="3">
        <v>2.56</v>
      </c>
      <c r="Q1338" s="6">
        <f>+L1338-M1338-N1338+P1338</f>
        <v>26.509999999999998</v>
      </c>
      <c r="R1338" s="3"/>
      <c r="S1338" s="3">
        <v>25.98</v>
      </c>
      <c r="T1338" s="3">
        <v>2.4700000000000002</v>
      </c>
      <c r="U1338" s="3"/>
      <c r="V1338" s="3"/>
      <c r="W1338" s="3"/>
      <c r="X1338" s="2">
        <f>+S1338+T1338-W1338</f>
        <v>28.45</v>
      </c>
      <c r="Y1338" s="6">
        <f>+Q1338-X1338</f>
        <v>-1.9400000000000013</v>
      </c>
      <c r="Z1338" s="2"/>
      <c r="AA1338" s="2"/>
      <c r="AB1338" s="2"/>
      <c r="AC1338" s="3"/>
      <c r="AD1338" s="2"/>
      <c r="AE1338" s="2"/>
      <c r="AF1338" s="2"/>
      <c r="AG1338" s="2" t="s">
        <v>837</v>
      </c>
      <c r="AH1338" s="2" t="s">
        <v>896</v>
      </c>
      <c r="AI1338" s="2" t="s">
        <v>895</v>
      </c>
      <c r="AJ1338" s="2"/>
      <c r="AK1338" s="2" t="s">
        <v>900</v>
      </c>
      <c r="AL1338" s="2" t="s">
        <v>4277</v>
      </c>
      <c r="AM1338" s="2"/>
      <c r="AN1338" s="2"/>
      <c r="AO1338" s="9" t="s">
        <v>899</v>
      </c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</row>
    <row r="1339" spans="2:58">
      <c r="B1339" s="2"/>
      <c r="C1339" s="1">
        <v>43719</v>
      </c>
      <c r="E1339" s="2" t="s">
        <v>879</v>
      </c>
      <c r="F1339" s="2"/>
      <c r="G1339" s="2" t="s">
        <v>882</v>
      </c>
      <c r="H1339" s="2" t="s">
        <v>883</v>
      </c>
      <c r="I1339" s="2"/>
      <c r="J1339" s="2">
        <v>1</v>
      </c>
      <c r="K1339" s="2"/>
      <c r="L1339" s="3">
        <v>11.96</v>
      </c>
      <c r="M1339" s="3">
        <v>1.19</v>
      </c>
      <c r="N1339" s="3">
        <v>0.86</v>
      </c>
      <c r="O1339" s="3"/>
      <c r="P1339" s="3">
        <v>0.84</v>
      </c>
      <c r="Q1339" s="6">
        <f>+L1339-M1339-N1339+P1339</f>
        <v>10.750000000000002</v>
      </c>
      <c r="R1339" s="3"/>
      <c r="S1339" s="3">
        <v>8.39</v>
      </c>
      <c r="T1339" s="3">
        <v>0</v>
      </c>
      <c r="U1339" s="3"/>
      <c r="V1339" s="3"/>
      <c r="W1339" s="3"/>
      <c r="X1339" s="2">
        <f>+S1339+T1339-W1339</f>
        <v>8.39</v>
      </c>
      <c r="Y1339" s="6">
        <f>+Q1339-X1339</f>
        <v>2.3600000000000012</v>
      </c>
      <c r="Z1339" s="2"/>
      <c r="AA1339" s="2"/>
      <c r="AB1339" s="2"/>
      <c r="AC1339" s="3"/>
      <c r="AD1339" s="2"/>
      <c r="AE1339" s="2"/>
      <c r="AF1339" s="2"/>
      <c r="AG1339" s="2" t="s">
        <v>791</v>
      </c>
      <c r="AH1339" s="4" t="s">
        <v>880</v>
      </c>
      <c r="AI1339" s="2" t="s">
        <v>881</v>
      </c>
      <c r="AJ1339" s="2"/>
      <c r="AK1339" s="2" t="s">
        <v>885</v>
      </c>
      <c r="AL1339" s="2"/>
      <c r="AM1339" s="2"/>
      <c r="AN1339" s="2"/>
      <c r="AO1339" s="2" t="s">
        <v>884</v>
      </c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</row>
    <row r="1340" spans="2:58">
      <c r="B1340" s="2"/>
      <c r="C1340" s="1">
        <v>43719</v>
      </c>
      <c r="E1340" s="2" t="s">
        <v>874</v>
      </c>
      <c r="F1340" s="2"/>
      <c r="G1340" s="2" t="s">
        <v>875</v>
      </c>
      <c r="H1340" s="2" t="s">
        <v>876</v>
      </c>
      <c r="I1340" s="2"/>
      <c r="J1340" s="2">
        <v>1</v>
      </c>
      <c r="K1340" s="2"/>
      <c r="L1340" s="3">
        <v>42.5</v>
      </c>
      <c r="M1340" s="3">
        <v>4.25</v>
      </c>
      <c r="N1340" s="3">
        <v>2.2999999999999998</v>
      </c>
      <c r="O1340" s="3"/>
      <c r="P1340" s="3">
        <v>2.98</v>
      </c>
      <c r="Q1340" s="6">
        <f>+L1340-M1340-N1340+P1340</f>
        <v>38.93</v>
      </c>
      <c r="R1340" s="3"/>
      <c r="S1340" s="3">
        <v>34.99</v>
      </c>
      <c r="T1340" s="3">
        <v>2.4500000000000002</v>
      </c>
      <c r="U1340" s="3"/>
      <c r="V1340" s="3">
        <v>1.34</v>
      </c>
      <c r="W1340" s="3">
        <v>0</v>
      </c>
      <c r="X1340" s="2">
        <f>+S1340+T1340+V1340-W1340</f>
        <v>38.780000000000008</v>
      </c>
      <c r="Y1340" s="6">
        <f>+Q1340-X1340</f>
        <v>0.14999999999999147</v>
      </c>
      <c r="Z1340" s="2"/>
      <c r="AA1340" s="2"/>
      <c r="AB1340" s="2"/>
      <c r="AC1340" s="3"/>
      <c r="AD1340" s="2"/>
      <c r="AE1340" s="2"/>
      <c r="AF1340" s="2"/>
      <c r="AG1340" s="2" t="s">
        <v>873</v>
      </c>
      <c r="AH1340" s="4" t="s">
        <v>872</v>
      </c>
      <c r="AI1340" s="2" t="s">
        <v>871</v>
      </c>
      <c r="AJ1340" s="2"/>
      <c r="AK1340" s="2" t="s">
        <v>878</v>
      </c>
      <c r="AL1340" s="2" t="s">
        <v>4278</v>
      </c>
      <c r="AM1340" s="2"/>
      <c r="AN1340" s="2"/>
      <c r="AO1340" s="2" t="s">
        <v>877</v>
      </c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</row>
    <row r="1341" spans="2:58">
      <c r="B1341" s="2"/>
      <c r="E1341" s="2"/>
      <c r="F1341" s="2"/>
      <c r="G1341" s="2"/>
      <c r="H1341" s="2"/>
      <c r="I1341" s="2"/>
      <c r="J1341" s="2"/>
      <c r="K1341" s="2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 t="s">
        <v>924</v>
      </c>
      <c r="X1341" s="3" t="s">
        <v>924</v>
      </c>
      <c r="Y1341" s="3"/>
      <c r="Z1341" s="2"/>
      <c r="AA1341" s="2"/>
      <c r="AB1341" s="2"/>
      <c r="AC1341" s="3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</row>
    <row r="1342" spans="2:58">
      <c r="B1342" s="2">
        <v>2</v>
      </c>
      <c r="C1342" s="1">
        <v>43718</v>
      </c>
      <c r="E1342" s="2" t="s">
        <v>868</v>
      </c>
      <c r="F1342" s="2"/>
      <c r="G1342" s="2" t="s">
        <v>869</v>
      </c>
      <c r="H1342" s="2" t="s">
        <v>870</v>
      </c>
      <c r="I1342" s="2"/>
      <c r="J1342" s="2">
        <v>1</v>
      </c>
      <c r="K1342" s="2"/>
      <c r="L1342" s="3">
        <v>17.5</v>
      </c>
      <c r="M1342" s="3">
        <v>1.75</v>
      </c>
      <c r="N1342" s="3">
        <v>1.07</v>
      </c>
      <c r="O1342" s="3"/>
      <c r="P1342" s="3"/>
      <c r="Q1342" s="6">
        <f>+L1342-M1342-N1342+P1342</f>
        <v>14.68</v>
      </c>
      <c r="R1342" s="3"/>
      <c r="S1342" s="3">
        <v>9.9600000000000009</v>
      </c>
      <c r="T1342" s="3"/>
      <c r="U1342" s="3"/>
      <c r="V1342" s="3"/>
      <c r="W1342" s="3">
        <v>-11.49</v>
      </c>
      <c r="X1342" s="2">
        <f>+S1342+T1342-W1342</f>
        <v>21.450000000000003</v>
      </c>
      <c r="Y1342" s="6">
        <f>+Q1342-X1342</f>
        <v>-6.7700000000000031</v>
      </c>
      <c r="Z1342" s="2"/>
      <c r="AA1342" s="2"/>
      <c r="AB1342" s="2"/>
      <c r="AC1342" s="3"/>
      <c r="AD1342" s="2"/>
      <c r="AE1342" s="2"/>
      <c r="AF1342" s="2"/>
      <c r="AG1342" s="2" t="s">
        <v>867</v>
      </c>
      <c r="AH1342" s="2" t="s">
        <v>866</v>
      </c>
      <c r="AI1342" s="2" t="s">
        <v>865</v>
      </c>
      <c r="AJ1342" s="2"/>
      <c r="AK1342" s="2" t="s">
        <v>922</v>
      </c>
      <c r="AL1342" s="2" t="s">
        <v>4279</v>
      </c>
      <c r="AM1342" s="2"/>
      <c r="AN1342" s="2"/>
      <c r="AO1342" s="2" t="s">
        <v>921</v>
      </c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</row>
    <row r="1343" spans="2:58">
      <c r="B1343" s="2"/>
      <c r="C1343" s="1">
        <v>43718</v>
      </c>
      <c r="E1343" s="2" t="s">
        <v>859</v>
      </c>
      <c r="F1343" s="2"/>
      <c r="G1343" s="2" t="s">
        <v>860</v>
      </c>
      <c r="H1343" s="2" t="s">
        <v>861</v>
      </c>
      <c r="I1343" s="2"/>
      <c r="J1343" s="2">
        <v>1</v>
      </c>
      <c r="K1343" s="2"/>
      <c r="L1343" s="3">
        <v>38</v>
      </c>
      <c r="M1343" s="3">
        <v>3.8</v>
      </c>
      <c r="N1343" s="3">
        <v>1.97</v>
      </c>
      <c r="O1343" s="3"/>
      <c r="P1343" s="3"/>
      <c r="Q1343" s="6">
        <f>+L1343-M1343-N1343+P1343</f>
        <v>32.230000000000004</v>
      </c>
      <c r="R1343" s="3"/>
      <c r="S1343" s="3">
        <v>27.99</v>
      </c>
      <c r="T1343" s="3">
        <v>0</v>
      </c>
      <c r="U1343" s="3"/>
      <c r="V1343" s="3"/>
      <c r="W1343" s="3">
        <v>0</v>
      </c>
      <c r="X1343" s="2">
        <f>+S1343+T1343-W1343</f>
        <v>27.99</v>
      </c>
      <c r="Y1343" s="6">
        <f>+Q1343-X1343</f>
        <v>4.2400000000000055</v>
      </c>
      <c r="Z1343" s="2"/>
      <c r="AA1343" s="2"/>
      <c r="AB1343" s="2"/>
      <c r="AC1343" s="3"/>
      <c r="AD1343" s="2"/>
      <c r="AE1343" s="2"/>
      <c r="AF1343" s="2"/>
      <c r="AG1343" s="2" t="s">
        <v>852</v>
      </c>
      <c r="AH1343" s="2" t="s">
        <v>858</v>
      </c>
      <c r="AI1343" s="4" t="s">
        <v>857</v>
      </c>
      <c r="AJ1343" s="2"/>
      <c r="AK1343" s="2" t="s">
        <v>863</v>
      </c>
      <c r="AL1343" s="2" t="s">
        <v>4280</v>
      </c>
      <c r="AM1343" s="2"/>
      <c r="AN1343" s="2"/>
      <c r="AO1343" s="2" t="s">
        <v>862</v>
      </c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</row>
    <row r="1344" spans="2:58">
      <c r="B1344" s="2"/>
      <c r="E1344" s="2"/>
      <c r="F1344" s="2"/>
      <c r="G1344" s="2"/>
      <c r="H1344" s="2"/>
      <c r="I1344" s="2"/>
      <c r="J1344" s="2"/>
      <c r="K1344" s="2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2"/>
      <c r="AA1344" s="2"/>
      <c r="AB1344" s="2"/>
      <c r="AC1344" s="3"/>
      <c r="AD1344" s="2" t="s">
        <v>747</v>
      </c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</row>
    <row r="1345" spans="2:58">
      <c r="B1345" s="2">
        <v>1</v>
      </c>
      <c r="C1345" s="1">
        <v>43717</v>
      </c>
      <c r="E1345" s="2" t="s">
        <v>844</v>
      </c>
      <c r="F1345" s="2"/>
      <c r="G1345" s="2" t="s">
        <v>854</v>
      </c>
      <c r="H1345" s="2" t="s">
        <v>853</v>
      </c>
      <c r="I1345" s="2"/>
      <c r="J1345" s="2">
        <v>1</v>
      </c>
      <c r="K1345" s="2"/>
      <c r="L1345" s="3">
        <v>83.5</v>
      </c>
      <c r="M1345" s="3">
        <v>8.35</v>
      </c>
      <c r="N1345" s="3">
        <v>3.97</v>
      </c>
      <c r="O1345" s="3"/>
      <c r="P1345" s="3"/>
      <c r="Q1345" s="6">
        <f>+L1345-M1345-N1345+P1345</f>
        <v>71.180000000000007</v>
      </c>
      <c r="R1345" s="3"/>
      <c r="S1345" s="3">
        <v>65.19</v>
      </c>
      <c r="T1345" s="3">
        <v>4.5599999999999996</v>
      </c>
      <c r="U1345" s="3"/>
      <c r="V1345" s="3"/>
      <c r="W1345" s="3">
        <f>6.52-1.5</f>
        <v>5.0199999999999996</v>
      </c>
      <c r="X1345" s="2">
        <f>+S1345+T1345-W1345</f>
        <v>64.73</v>
      </c>
      <c r="Y1345" s="6">
        <f>+Q1345-X1345</f>
        <v>6.4500000000000028</v>
      </c>
      <c r="Z1345" s="2"/>
      <c r="AA1345" s="6">
        <f>+Y1345</f>
        <v>6.4500000000000028</v>
      </c>
      <c r="AB1345" s="2"/>
      <c r="AC1345" s="3"/>
      <c r="AD1345" s="2"/>
      <c r="AE1345" s="2"/>
      <c r="AF1345" s="2"/>
      <c r="AG1345" s="2" t="s">
        <v>852</v>
      </c>
      <c r="AH1345" s="2" t="s">
        <v>851</v>
      </c>
      <c r="AI1345" s="2" t="s">
        <v>850</v>
      </c>
      <c r="AJ1345" s="2"/>
      <c r="AK1345" s="2" t="s">
        <v>856</v>
      </c>
      <c r="AL1345" s="2" t="s">
        <v>4281</v>
      </c>
      <c r="AM1345" s="2"/>
      <c r="AN1345" s="2"/>
      <c r="AO1345" s="9" t="s">
        <v>855</v>
      </c>
      <c r="AP1345" s="2" t="s">
        <v>864</v>
      </c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</row>
    <row r="1346" spans="2:58">
      <c r="B1346" s="2"/>
      <c r="E1346" s="2"/>
      <c r="F1346" s="2"/>
      <c r="G1346" s="2"/>
      <c r="H1346" s="2"/>
      <c r="I1346" s="2"/>
      <c r="J1346" s="2"/>
      <c r="K1346" s="2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 t="s">
        <v>747</v>
      </c>
      <c r="Y1346" s="3" t="s">
        <v>747</v>
      </c>
      <c r="Z1346" s="2"/>
      <c r="AA1346" s="2"/>
      <c r="AB1346" s="2"/>
      <c r="AC1346" s="3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</row>
    <row r="1347" spans="2:58">
      <c r="B1347" s="2">
        <v>6</v>
      </c>
      <c r="C1347" s="1">
        <v>43716</v>
      </c>
      <c r="E1347" s="2" t="s">
        <v>829</v>
      </c>
      <c r="F1347" s="2"/>
      <c r="G1347" s="2" t="s">
        <v>838</v>
      </c>
      <c r="H1347" s="2" t="s">
        <v>839</v>
      </c>
      <c r="I1347" s="2"/>
      <c r="J1347" s="2">
        <v>1</v>
      </c>
      <c r="K1347" s="2"/>
      <c r="L1347" s="3">
        <v>59.36</v>
      </c>
      <c r="M1347" s="3">
        <v>5.93</v>
      </c>
      <c r="N1347" s="3">
        <v>3.15</v>
      </c>
      <c r="O1347" s="3"/>
      <c r="P1347" s="3">
        <v>5.34</v>
      </c>
      <c r="Q1347" s="6">
        <f t="shared" ref="Q1347:Q1352" si="2446">+L1347-M1347-N1347+P1347</f>
        <v>55.620000000000005</v>
      </c>
      <c r="R1347" s="3"/>
      <c r="S1347" s="3">
        <v>45.98</v>
      </c>
      <c r="T1347" s="3"/>
      <c r="U1347" s="3"/>
      <c r="V1347" s="3"/>
      <c r="W1347" s="3">
        <v>-1.52</v>
      </c>
      <c r="X1347" s="2">
        <f>+S1347+T1347-W1347</f>
        <v>47.5</v>
      </c>
      <c r="Y1347" s="6">
        <f t="shared" ref="Y1347:Y1352" si="2447">+Q1347-X1347</f>
        <v>8.1200000000000045</v>
      </c>
      <c r="Z1347" s="2"/>
      <c r="AA1347" s="2"/>
      <c r="AB1347" s="2"/>
      <c r="AC1347" s="3"/>
      <c r="AD1347" s="2"/>
      <c r="AE1347" s="2"/>
      <c r="AF1347" s="2"/>
      <c r="AG1347" s="2" t="s">
        <v>837</v>
      </c>
      <c r="AH1347" s="2" t="s">
        <v>836</v>
      </c>
      <c r="AI1347" s="2" t="s">
        <v>835</v>
      </c>
      <c r="AJ1347" s="2"/>
      <c r="AK1347" s="2" t="s">
        <v>846</v>
      </c>
      <c r="AL1347" s="2" t="s">
        <v>4282</v>
      </c>
      <c r="AM1347" s="2"/>
      <c r="AN1347" s="2"/>
      <c r="AO1347" s="2" t="s">
        <v>845</v>
      </c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</row>
    <row r="1348" spans="2:58">
      <c r="B1348" s="2"/>
      <c r="C1348" s="1">
        <v>43716</v>
      </c>
      <c r="E1348" s="2" t="s">
        <v>828</v>
      </c>
      <c r="F1348" s="2"/>
      <c r="G1348" s="2" t="s">
        <v>833</v>
      </c>
      <c r="H1348" s="2" t="s">
        <v>834</v>
      </c>
      <c r="I1348" s="2"/>
      <c r="J1348" s="2">
        <v>1</v>
      </c>
      <c r="K1348" s="2"/>
      <c r="L1348" s="3">
        <v>83.5</v>
      </c>
      <c r="M1348" s="3">
        <v>8.35</v>
      </c>
      <c r="N1348" s="3">
        <v>3.97</v>
      </c>
      <c r="O1348" s="3"/>
      <c r="P1348" s="3"/>
      <c r="Q1348" s="6">
        <f t="shared" si="2446"/>
        <v>71.180000000000007</v>
      </c>
      <c r="R1348" s="3"/>
      <c r="S1348" s="3">
        <v>65.19</v>
      </c>
      <c r="T1348" s="3"/>
      <c r="U1348" s="3"/>
      <c r="V1348" s="3"/>
      <c r="W1348" s="3">
        <f>6.52-2.5</f>
        <v>4.0199999999999996</v>
      </c>
      <c r="X1348" s="2">
        <f>+S1348+T1348-W1348</f>
        <v>61.17</v>
      </c>
      <c r="Y1348" s="6">
        <f t="shared" si="2447"/>
        <v>10.010000000000005</v>
      </c>
      <c r="Z1348" s="2"/>
      <c r="AA1348" s="6">
        <f>+Y1348</f>
        <v>10.010000000000005</v>
      </c>
      <c r="AB1348" s="2"/>
      <c r="AC1348" s="3"/>
      <c r="AD1348" s="2"/>
      <c r="AE1348" s="2"/>
      <c r="AF1348" s="2"/>
      <c r="AG1348" s="2" t="s">
        <v>832</v>
      </c>
      <c r="AH1348" s="2" t="s">
        <v>831</v>
      </c>
      <c r="AI1348" s="2" t="s">
        <v>830</v>
      </c>
      <c r="AJ1348" s="2"/>
      <c r="AK1348" s="2"/>
      <c r="AL1348" s="2" t="s">
        <v>4283</v>
      </c>
      <c r="AM1348" s="2"/>
      <c r="AN1348" s="2"/>
      <c r="AO1348" s="2" t="s">
        <v>849</v>
      </c>
      <c r="AP1348" s="2" t="s">
        <v>864</v>
      </c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</row>
    <row r="1349" spans="2:58">
      <c r="B1349" s="2"/>
      <c r="C1349" s="1">
        <v>43716</v>
      </c>
      <c r="E1349" s="2" t="s">
        <v>822</v>
      </c>
      <c r="F1349" s="2"/>
      <c r="G1349" s="2" t="s">
        <v>826</v>
      </c>
      <c r="H1349" s="2" t="s">
        <v>827</v>
      </c>
      <c r="I1349" s="2"/>
      <c r="J1349" s="2">
        <v>1</v>
      </c>
      <c r="K1349" s="2"/>
      <c r="L1349" s="3">
        <v>31.5</v>
      </c>
      <c r="M1349" s="3">
        <v>3.15</v>
      </c>
      <c r="N1349" s="3">
        <v>1.77</v>
      </c>
      <c r="O1349" s="3"/>
      <c r="P1349" s="3">
        <v>1.89</v>
      </c>
      <c r="Q1349" s="6">
        <f t="shared" si="2446"/>
        <v>28.470000000000002</v>
      </c>
      <c r="R1349" s="3"/>
      <c r="S1349" s="3">
        <v>25.32</v>
      </c>
      <c r="T1349" s="3"/>
      <c r="U1349" s="3"/>
      <c r="V1349" s="3"/>
      <c r="W1349" s="3">
        <f>1.91-1.33</f>
        <v>0.57999999999999985</v>
      </c>
      <c r="X1349" s="2">
        <f>+S1349+T1349+W1349</f>
        <v>25.9</v>
      </c>
      <c r="Y1349" s="6">
        <f t="shared" si="2447"/>
        <v>2.5700000000000038</v>
      </c>
      <c r="Z1349" s="2"/>
      <c r="AA1349" s="2"/>
      <c r="AB1349" s="2"/>
      <c r="AC1349" s="3"/>
      <c r="AD1349" s="2"/>
      <c r="AE1349" s="2"/>
      <c r="AF1349" s="2"/>
      <c r="AG1349" s="2" t="s">
        <v>825</v>
      </c>
      <c r="AH1349" s="2" t="s">
        <v>824</v>
      </c>
      <c r="AI1349" s="2" t="s">
        <v>823</v>
      </c>
      <c r="AJ1349" s="2"/>
      <c r="AK1349" s="2" t="s">
        <v>848</v>
      </c>
      <c r="AL1349" s="2" t="s">
        <v>4284</v>
      </c>
      <c r="AM1349" s="2"/>
      <c r="AN1349" s="2"/>
      <c r="AO1349" s="10" t="s">
        <v>847</v>
      </c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</row>
    <row r="1350" spans="2:58">
      <c r="B1350" s="2"/>
      <c r="C1350" s="1">
        <v>43716</v>
      </c>
      <c r="E1350" s="2" t="s">
        <v>816</v>
      </c>
      <c r="F1350" s="2"/>
      <c r="G1350" s="2" t="s">
        <v>820</v>
      </c>
      <c r="H1350" s="2" t="s">
        <v>821</v>
      </c>
      <c r="I1350" s="2"/>
      <c r="J1350" s="2">
        <v>1</v>
      </c>
      <c r="K1350" s="2"/>
      <c r="L1350" s="3">
        <v>15.5</v>
      </c>
      <c r="M1350" s="3">
        <v>1.55</v>
      </c>
      <c r="N1350" s="3">
        <v>0.98</v>
      </c>
      <c r="O1350" s="3"/>
      <c r="P1350" s="3"/>
      <c r="Q1350" s="6">
        <f t="shared" si="2446"/>
        <v>12.969999999999999</v>
      </c>
      <c r="R1350" s="3"/>
      <c r="S1350" s="3">
        <v>8.99</v>
      </c>
      <c r="T1350" s="3">
        <v>0.63</v>
      </c>
      <c r="U1350" s="3"/>
      <c r="V1350" s="3"/>
      <c r="W1350" s="3">
        <v>0</v>
      </c>
      <c r="X1350" s="2">
        <f>+S1350+T1350-W1350</f>
        <v>9.620000000000001</v>
      </c>
      <c r="Y1350" s="6">
        <f t="shared" si="2447"/>
        <v>3.3499999999999979</v>
      </c>
      <c r="Z1350" s="2"/>
      <c r="AA1350" s="2"/>
      <c r="AB1350" s="2"/>
      <c r="AC1350" s="3"/>
      <c r="AD1350" s="2"/>
      <c r="AE1350" s="2"/>
      <c r="AF1350" s="2"/>
      <c r="AG1350" s="2" t="s">
        <v>819</v>
      </c>
      <c r="AH1350" s="4" t="s">
        <v>818</v>
      </c>
      <c r="AI1350" s="2" t="s">
        <v>817</v>
      </c>
      <c r="AJ1350" s="2"/>
      <c r="AK1350" s="2" t="s">
        <v>843</v>
      </c>
      <c r="AL1350" s="2" t="s">
        <v>4285</v>
      </c>
      <c r="AM1350" s="2"/>
      <c r="AN1350" s="2"/>
      <c r="AO1350" s="2" t="s">
        <v>842</v>
      </c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</row>
    <row r="1351" spans="2:58">
      <c r="B1351" s="2"/>
      <c r="C1351" s="1">
        <v>43716</v>
      </c>
      <c r="E1351" s="2" t="s">
        <v>62</v>
      </c>
      <c r="F1351" s="2"/>
      <c r="G1351" s="2" t="s">
        <v>812</v>
      </c>
      <c r="H1351" s="2" t="s">
        <v>813</v>
      </c>
      <c r="I1351" s="2"/>
      <c r="J1351" s="2">
        <v>1</v>
      </c>
      <c r="K1351" s="2"/>
      <c r="L1351" s="3">
        <v>53.5</v>
      </c>
      <c r="M1351" s="3">
        <v>5.35</v>
      </c>
      <c r="N1351" s="3">
        <v>2.82</v>
      </c>
      <c r="O1351" s="3"/>
      <c r="P1351" s="3">
        <v>3.75</v>
      </c>
      <c r="Q1351" s="6">
        <f t="shared" si="2446"/>
        <v>49.08</v>
      </c>
      <c r="R1351" s="3"/>
      <c r="S1351" s="3">
        <v>39.99</v>
      </c>
      <c r="T1351" s="3">
        <v>2.8</v>
      </c>
      <c r="U1351" s="3"/>
      <c r="V1351" s="3"/>
      <c r="W1351" s="3">
        <v>0</v>
      </c>
      <c r="X1351" s="2">
        <f>+S1351+T1351-W1351</f>
        <v>42.79</v>
      </c>
      <c r="Y1351" s="6">
        <f t="shared" si="2447"/>
        <v>6.2899999999999991</v>
      </c>
      <c r="Z1351" s="2"/>
      <c r="AA1351" s="2"/>
      <c r="AB1351" s="2"/>
      <c r="AC1351" s="3"/>
      <c r="AD1351" s="2"/>
      <c r="AE1351" s="2"/>
      <c r="AF1351" s="2"/>
      <c r="AG1351" s="2" t="s">
        <v>811</v>
      </c>
      <c r="AH1351" s="2" t="s">
        <v>810</v>
      </c>
      <c r="AI1351" s="4" t="s">
        <v>809</v>
      </c>
      <c r="AJ1351" s="2"/>
      <c r="AK1351" s="2" t="s">
        <v>815</v>
      </c>
      <c r="AL1351" s="2" t="s">
        <v>4286</v>
      </c>
      <c r="AM1351" s="2"/>
      <c r="AN1351" s="2"/>
      <c r="AO1351" s="9" t="s">
        <v>814</v>
      </c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</row>
    <row r="1352" spans="2:58">
      <c r="B1352" s="2"/>
      <c r="C1352" s="1">
        <v>43716</v>
      </c>
      <c r="E1352" s="2" t="s">
        <v>393</v>
      </c>
      <c r="F1352" s="2"/>
      <c r="G1352" s="2" t="s">
        <v>805</v>
      </c>
      <c r="H1352" s="2" t="s">
        <v>806</v>
      </c>
      <c r="I1352" s="2"/>
      <c r="J1352" s="2">
        <v>1</v>
      </c>
      <c r="K1352" s="2"/>
      <c r="L1352" s="3">
        <v>59.36</v>
      </c>
      <c r="M1352" s="3">
        <v>5.94</v>
      </c>
      <c r="N1352" s="3">
        <v>3.17</v>
      </c>
      <c r="O1352" s="3"/>
      <c r="P1352" s="3">
        <v>5.94</v>
      </c>
      <c r="Q1352" s="6">
        <f t="shared" si="2446"/>
        <v>56.19</v>
      </c>
      <c r="R1352" s="3"/>
      <c r="S1352" s="3">
        <v>45.89</v>
      </c>
      <c r="T1352" s="3">
        <v>4.34</v>
      </c>
      <c r="U1352" s="3"/>
      <c r="V1352" s="3"/>
      <c r="W1352" s="3"/>
      <c r="X1352" s="2">
        <f>+S1352+T1352-W1352</f>
        <v>50.230000000000004</v>
      </c>
      <c r="Y1352" s="6">
        <f t="shared" si="2447"/>
        <v>5.9599999999999937</v>
      </c>
      <c r="Z1352" s="2"/>
      <c r="AA1352" s="2"/>
      <c r="AB1352" s="2"/>
      <c r="AC1352" s="3"/>
      <c r="AD1352" s="2"/>
      <c r="AE1352" s="2"/>
      <c r="AF1352" s="2"/>
      <c r="AG1352" s="2" t="s">
        <v>804</v>
      </c>
      <c r="AH1352" s="2" t="s">
        <v>803</v>
      </c>
      <c r="AI1352" s="2" t="s">
        <v>802</v>
      </c>
      <c r="AJ1352" s="2"/>
      <c r="AK1352" s="2" t="s">
        <v>840</v>
      </c>
      <c r="AL1352" s="2" t="s">
        <v>4287</v>
      </c>
      <c r="AM1352" s="2"/>
      <c r="AN1352" s="2"/>
      <c r="AO1352" s="2" t="s">
        <v>841</v>
      </c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</row>
    <row r="1353" spans="2:58">
      <c r="B1353" s="2"/>
      <c r="E1353" s="2"/>
      <c r="F1353" s="2"/>
      <c r="G1353" s="2"/>
      <c r="H1353" s="2"/>
      <c r="I1353" s="2"/>
      <c r="J1353" s="2"/>
      <c r="K1353" s="2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2"/>
      <c r="AA1353" s="2"/>
      <c r="AB1353" s="2"/>
      <c r="AC1353" s="3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</row>
    <row r="1354" spans="2:58">
      <c r="B1354" s="2">
        <v>1</v>
      </c>
      <c r="C1354" s="1">
        <v>43715</v>
      </c>
      <c r="E1354" s="2" t="s">
        <v>61</v>
      </c>
      <c r="F1354" s="2"/>
      <c r="G1354" s="2" t="s">
        <v>797</v>
      </c>
      <c r="H1354" s="2" t="s">
        <v>798</v>
      </c>
      <c r="I1354" s="2"/>
      <c r="J1354" s="2">
        <v>1</v>
      </c>
      <c r="K1354" s="2"/>
      <c r="L1354" s="3">
        <v>35.799999999999997</v>
      </c>
      <c r="M1354" s="3">
        <v>3.58</v>
      </c>
      <c r="N1354" s="3">
        <v>2.02</v>
      </c>
      <c r="O1354" s="3"/>
      <c r="P1354" s="3">
        <v>3.22</v>
      </c>
      <c r="Q1354" s="6">
        <f>+L1354-M1354-N1354+P1354</f>
        <v>33.42</v>
      </c>
      <c r="R1354" s="3"/>
      <c r="S1354" s="3">
        <v>25.98</v>
      </c>
      <c r="T1354" s="3">
        <v>2.34</v>
      </c>
      <c r="U1354" s="3"/>
      <c r="V1354" s="3"/>
      <c r="W1354" s="3"/>
      <c r="X1354" s="2">
        <f>+S1354+T1354-W1354</f>
        <v>28.32</v>
      </c>
      <c r="Y1354" s="6">
        <f>+Q1354-X1354</f>
        <v>5.1000000000000014</v>
      </c>
      <c r="Z1354" s="2"/>
      <c r="AA1354" s="2"/>
      <c r="AB1354" s="2"/>
      <c r="AC1354" s="3"/>
      <c r="AD1354" s="2"/>
      <c r="AE1354" s="2"/>
      <c r="AF1354" s="2"/>
      <c r="AG1354" s="2"/>
      <c r="AH1354" s="2" t="s">
        <v>796</v>
      </c>
      <c r="AI1354" s="2" t="s">
        <v>795</v>
      </c>
      <c r="AJ1354" s="2"/>
      <c r="AK1354" s="2" t="s">
        <v>799</v>
      </c>
      <c r="AL1354" s="2"/>
      <c r="AM1354" s="2"/>
      <c r="AN1354" s="2"/>
      <c r="AO1354" s="9" t="s">
        <v>800</v>
      </c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</row>
    <row r="1355" spans="2:58">
      <c r="B1355" s="2"/>
      <c r="E1355" s="2"/>
      <c r="F1355" s="2"/>
      <c r="G1355" s="2"/>
      <c r="H1355" s="2"/>
      <c r="I1355" s="2"/>
      <c r="J1355" s="2"/>
      <c r="K1355" s="2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2"/>
      <c r="AA1355" s="2"/>
      <c r="AB1355" s="2"/>
      <c r="AC1355" s="3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</row>
    <row r="1356" spans="2:58">
      <c r="B1356" s="2">
        <v>1</v>
      </c>
      <c r="C1356" s="1">
        <v>43714</v>
      </c>
      <c r="E1356" s="2" t="s">
        <v>61</v>
      </c>
      <c r="F1356" s="2"/>
      <c r="G1356" s="2" t="s">
        <v>792</v>
      </c>
      <c r="H1356" s="2" t="s">
        <v>793</v>
      </c>
      <c r="I1356" s="2"/>
      <c r="J1356" s="2">
        <v>1</v>
      </c>
      <c r="K1356" s="2"/>
      <c r="L1356" s="3">
        <v>35.799999999999997</v>
      </c>
      <c r="M1356" s="3">
        <v>3.58</v>
      </c>
      <c r="N1356" s="3">
        <v>1.99</v>
      </c>
      <c r="O1356" s="3"/>
      <c r="P1356" s="3">
        <v>2.5099999999999998</v>
      </c>
      <c r="Q1356" s="6">
        <f>+L1356-M1356-N1356+P1356</f>
        <v>32.74</v>
      </c>
      <c r="R1356" s="3"/>
      <c r="S1356" s="3">
        <v>25.98</v>
      </c>
      <c r="T1356" s="3">
        <v>1.82</v>
      </c>
      <c r="U1356" s="3"/>
      <c r="V1356" s="3"/>
      <c r="W1356" s="3"/>
      <c r="X1356" s="2">
        <f>+S1356+T1356-W1356</f>
        <v>27.8</v>
      </c>
      <c r="Y1356" s="6">
        <f>+Q1356-X1356</f>
        <v>4.9400000000000013</v>
      </c>
      <c r="Z1356" s="2"/>
      <c r="AA1356" s="2"/>
      <c r="AB1356" s="2"/>
      <c r="AC1356" s="3"/>
      <c r="AD1356" s="2"/>
      <c r="AE1356" s="2"/>
      <c r="AF1356" s="2"/>
      <c r="AG1356" s="2" t="s">
        <v>791</v>
      </c>
      <c r="AH1356" s="2" t="s">
        <v>790</v>
      </c>
      <c r="AI1356" s="2" t="s">
        <v>789</v>
      </c>
      <c r="AJ1356" s="2"/>
      <c r="AK1356" s="2" t="s">
        <v>794</v>
      </c>
      <c r="AL1356" s="2" t="s">
        <v>4288</v>
      </c>
      <c r="AM1356" s="2"/>
      <c r="AN1356" s="2"/>
      <c r="AO1356" s="2" t="s">
        <v>801</v>
      </c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</row>
    <row r="1357" spans="2:58">
      <c r="B1357" s="2"/>
      <c r="E1357" s="2"/>
      <c r="F1357" s="2"/>
      <c r="G1357" s="2"/>
      <c r="H1357" s="2"/>
      <c r="I1357" s="2"/>
      <c r="J1357" s="2"/>
      <c r="K1357" s="2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 t="s">
        <v>747</v>
      </c>
      <c r="Y1357" s="3"/>
      <c r="Z1357" s="2"/>
      <c r="AA1357" s="2"/>
      <c r="AB1357" s="2"/>
      <c r="AC1357" s="3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</row>
    <row r="1358" spans="2:58">
      <c r="B1358" s="2">
        <v>3</v>
      </c>
      <c r="C1358" s="1">
        <v>43713</v>
      </c>
      <c r="E1358" s="2" t="s">
        <v>772</v>
      </c>
      <c r="F1358" s="2"/>
      <c r="G1358" s="2" t="s">
        <v>783</v>
      </c>
      <c r="H1358" s="2" t="s">
        <v>784</v>
      </c>
      <c r="I1358" s="2"/>
      <c r="J1358" s="2">
        <v>1</v>
      </c>
      <c r="K1358" s="2"/>
      <c r="L1358" s="3">
        <v>11.7</v>
      </c>
      <c r="M1358" s="3">
        <v>1.17</v>
      </c>
      <c r="N1358" s="3">
        <v>0.81</v>
      </c>
      <c r="O1358" s="3"/>
      <c r="P1358" s="3"/>
      <c r="Q1358" s="6">
        <f>+L1358-M1358-N1358+P1358</f>
        <v>9.7199999999999989</v>
      </c>
      <c r="R1358" s="3"/>
      <c r="S1358" s="3">
        <v>9.9700000000000006</v>
      </c>
      <c r="T1358" s="3"/>
      <c r="U1358" s="3"/>
      <c r="V1358" s="3"/>
      <c r="W1358" s="3"/>
      <c r="X1358" s="2">
        <f>+S1358+T1358-W1358</f>
        <v>9.9700000000000006</v>
      </c>
      <c r="Y1358" s="6">
        <f>+Q1358-X1358</f>
        <v>-0.25000000000000178</v>
      </c>
      <c r="Z1358" s="2"/>
      <c r="AA1358" s="2"/>
      <c r="AB1358" s="2"/>
      <c r="AC1358" s="3"/>
      <c r="AD1358" s="2"/>
      <c r="AE1358" s="2"/>
      <c r="AF1358" s="2"/>
      <c r="AG1358" s="2" t="s">
        <v>779</v>
      </c>
      <c r="AH1358" s="2" t="s">
        <v>782</v>
      </c>
      <c r="AI1358" s="4" t="s">
        <v>781</v>
      </c>
      <c r="AJ1358" s="2"/>
      <c r="AK1358" s="2" t="s">
        <v>786</v>
      </c>
      <c r="AL1358" s="2" t="s">
        <v>4289</v>
      </c>
      <c r="AM1358" s="2"/>
      <c r="AN1358" s="2"/>
      <c r="AO1358" s="9" t="s">
        <v>787</v>
      </c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</row>
    <row r="1359" spans="2:58">
      <c r="B1359" s="2"/>
      <c r="C1359" s="1">
        <v>43713</v>
      </c>
      <c r="E1359" s="2" t="s">
        <v>772</v>
      </c>
      <c r="F1359" s="2"/>
      <c r="G1359" s="2" t="s">
        <v>785</v>
      </c>
      <c r="H1359" s="2" t="s">
        <v>776</v>
      </c>
      <c r="I1359" s="2"/>
      <c r="J1359" s="2">
        <v>1</v>
      </c>
      <c r="K1359" s="2"/>
      <c r="L1359" s="3">
        <v>11.5</v>
      </c>
      <c r="M1359" s="3">
        <v>1.1499999999999999</v>
      </c>
      <c r="N1359" s="3">
        <v>0.81</v>
      </c>
      <c r="O1359" s="3"/>
      <c r="P1359" s="3">
        <v>0</v>
      </c>
      <c r="Q1359" s="6">
        <f>+L1359-M1359-N1359+P1359</f>
        <v>9.5399999999999991</v>
      </c>
      <c r="R1359" s="3"/>
      <c r="S1359" s="3">
        <v>9.9700000000000006</v>
      </c>
      <c r="T1359" s="3">
        <v>0.77</v>
      </c>
      <c r="U1359" s="3"/>
      <c r="V1359" s="3"/>
      <c r="W1359" s="3"/>
      <c r="X1359" s="2">
        <f>+S1359+T1359-W1359</f>
        <v>10.74</v>
      </c>
      <c r="Y1359" s="6">
        <f>+Q1359-X1359</f>
        <v>-1.2000000000000011</v>
      </c>
      <c r="Z1359" s="2"/>
      <c r="AA1359" s="2"/>
      <c r="AB1359" s="2"/>
      <c r="AC1359" s="3"/>
      <c r="AD1359" s="2"/>
      <c r="AE1359" s="2"/>
      <c r="AF1359" s="2"/>
      <c r="AG1359" s="2" t="s">
        <v>775</v>
      </c>
      <c r="AH1359" s="2" t="s">
        <v>774</v>
      </c>
      <c r="AI1359" s="2" t="s">
        <v>773</v>
      </c>
      <c r="AJ1359" s="2"/>
      <c r="AK1359" s="2"/>
      <c r="AL1359" s="2"/>
      <c r="AM1359" s="2"/>
      <c r="AN1359" s="2"/>
      <c r="AO1359" s="2" t="s">
        <v>788</v>
      </c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</row>
    <row r="1360" spans="2:58">
      <c r="B1360" s="2"/>
      <c r="C1360" s="1">
        <v>43713</v>
      </c>
      <c r="E1360" s="2" t="s">
        <v>771</v>
      </c>
      <c r="F1360" s="2"/>
      <c r="G1360" s="5" t="s">
        <v>908</v>
      </c>
      <c r="H1360" s="2" t="s">
        <v>780</v>
      </c>
      <c r="I1360" s="2"/>
      <c r="J1360" s="2">
        <v>1</v>
      </c>
      <c r="K1360" s="2"/>
      <c r="L1360" s="3">
        <v>69</v>
      </c>
      <c r="M1360" s="3">
        <v>6.9</v>
      </c>
      <c r="N1360" s="3">
        <v>3.34</v>
      </c>
      <c r="O1360" s="3"/>
      <c r="P1360" s="3"/>
      <c r="Q1360" s="6">
        <f>+L1360-M1360-N1360+P1360</f>
        <v>58.760000000000005</v>
      </c>
      <c r="R1360" s="3"/>
      <c r="S1360" s="3">
        <v>58.99</v>
      </c>
      <c r="T1360" s="3"/>
      <c r="U1360" s="3"/>
      <c r="V1360" s="3"/>
      <c r="W1360" s="3"/>
      <c r="X1360" s="2">
        <f>+S1360+T1360-W1360</f>
        <v>58.99</v>
      </c>
      <c r="Y1360" s="6">
        <f>+Q1360-X1360</f>
        <v>-0.22999999999999687</v>
      </c>
      <c r="Z1360" s="2"/>
      <c r="AA1360" s="2" t="s">
        <v>747</v>
      </c>
      <c r="AB1360" s="2"/>
      <c r="AC1360" s="3"/>
      <c r="AD1360" s="2"/>
      <c r="AE1360" s="2"/>
      <c r="AF1360" s="2"/>
      <c r="AG1360" s="2" t="s">
        <v>779</v>
      </c>
      <c r="AH1360" s="2" t="s">
        <v>778</v>
      </c>
      <c r="AI1360" s="2" t="s">
        <v>777</v>
      </c>
      <c r="AJ1360" s="2"/>
      <c r="AK1360" s="2" t="s">
        <v>808</v>
      </c>
      <c r="AL1360" s="2" t="s">
        <v>4290</v>
      </c>
      <c r="AM1360" s="2"/>
      <c r="AN1360" s="2"/>
      <c r="AO1360" s="9" t="s">
        <v>807</v>
      </c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</row>
    <row r="1361" spans="2:58">
      <c r="B1361" s="2"/>
      <c r="E1361" s="2"/>
      <c r="F1361" s="2"/>
      <c r="G1361" s="2"/>
      <c r="H1361" s="2"/>
      <c r="I1361" s="2"/>
      <c r="J1361" s="2"/>
      <c r="K1361" s="2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2"/>
      <c r="AA1361" s="2"/>
      <c r="AB1361" s="2"/>
      <c r="AC1361" s="3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</row>
    <row r="1362" spans="2:58">
      <c r="B1362" s="2">
        <v>1</v>
      </c>
      <c r="C1362" s="1">
        <v>43712</v>
      </c>
      <c r="E1362" s="2" t="s">
        <v>178</v>
      </c>
      <c r="F1362" s="2"/>
      <c r="G1362" s="2" t="s">
        <v>766</v>
      </c>
      <c r="H1362" s="2" t="s">
        <v>767</v>
      </c>
      <c r="I1362" s="2"/>
      <c r="J1362" s="2">
        <v>2</v>
      </c>
      <c r="K1362" s="2"/>
      <c r="L1362" s="3">
        <v>51.2</v>
      </c>
      <c r="M1362" s="3">
        <v>5.12</v>
      </c>
      <c r="N1362" s="3">
        <v>2.76</v>
      </c>
      <c r="O1362" s="3"/>
      <c r="P1362" s="3">
        <v>4.6100000000000003</v>
      </c>
      <c r="Q1362" s="6">
        <f>+L1362-M1362-N1362+P1362</f>
        <v>47.930000000000007</v>
      </c>
      <c r="R1362" s="3"/>
      <c r="S1362" s="3">
        <v>29.96</v>
      </c>
      <c r="T1362" s="3">
        <v>2.1800000000000002</v>
      </c>
      <c r="U1362" s="3"/>
      <c r="V1362" s="3"/>
      <c r="W1362" s="3">
        <v>-1.02</v>
      </c>
      <c r="X1362" s="2">
        <f>+S1362+T1362-W1362</f>
        <v>33.160000000000004</v>
      </c>
      <c r="Y1362" s="6">
        <f>+Q1362-X1362</f>
        <v>14.770000000000003</v>
      </c>
      <c r="Z1362" s="2"/>
      <c r="AA1362" s="2"/>
      <c r="AB1362" s="2"/>
      <c r="AC1362" s="3"/>
      <c r="AD1362" s="2"/>
      <c r="AE1362" s="2"/>
      <c r="AF1362" s="2"/>
      <c r="AG1362" s="2" t="s">
        <v>765</v>
      </c>
      <c r="AH1362" s="2" t="s">
        <v>764</v>
      </c>
      <c r="AI1362" s="2" t="s">
        <v>763</v>
      </c>
      <c r="AJ1362" s="2"/>
      <c r="AK1362" s="2" t="s">
        <v>770</v>
      </c>
      <c r="AL1362" s="2"/>
      <c r="AM1362" s="2"/>
      <c r="AN1362" s="2"/>
      <c r="AO1362" s="10" t="s">
        <v>769</v>
      </c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</row>
    <row r="1363" spans="2:58">
      <c r="B1363" s="2"/>
      <c r="E1363" s="2"/>
      <c r="F1363" s="2"/>
      <c r="G1363" s="2"/>
      <c r="H1363" s="2"/>
      <c r="I1363" s="2"/>
      <c r="J1363" s="2"/>
      <c r="K1363" s="2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 t="s">
        <v>747</v>
      </c>
      <c r="Y1363" s="3"/>
      <c r="Z1363" s="2"/>
      <c r="AA1363" s="2"/>
      <c r="AB1363" s="2"/>
      <c r="AC1363" s="3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</row>
    <row r="1364" spans="2:58">
      <c r="B1364" s="2">
        <v>2</v>
      </c>
      <c r="C1364" s="1">
        <v>43711</v>
      </c>
      <c r="E1364" s="2" t="s">
        <v>393</v>
      </c>
      <c r="F1364" s="2"/>
      <c r="G1364" s="2" t="s">
        <v>757</v>
      </c>
      <c r="H1364" s="2" t="s">
        <v>758</v>
      </c>
      <c r="I1364" s="2"/>
      <c r="J1364" s="2">
        <v>1</v>
      </c>
      <c r="K1364" s="2"/>
      <c r="L1364" s="3">
        <v>59.96</v>
      </c>
      <c r="M1364" s="3">
        <v>5.99</v>
      </c>
      <c r="N1364" s="3">
        <v>3.2</v>
      </c>
      <c r="O1364" s="3" t="s">
        <v>747</v>
      </c>
      <c r="P1364" s="3">
        <v>6</v>
      </c>
      <c r="Q1364" s="6">
        <f>+L1364-M1364-N1364+P1364</f>
        <v>56.769999999999996</v>
      </c>
      <c r="R1364" s="3"/>
      <c r="S1364" s="3">
        <v>47.4</v>
      </c>
      <c r="T1364" s="3">
        <v>4.95</v>
      </c>
      <c r="U1364" s="3"/>
      <c r="V1364" s="3"/>
      <c r="W1364" s="3">
        <v>2.37</v>
      </c>
      <c r="X1364" s="2">
        <f>+S1364+T1364-W1364</f>
        <v>49.980000000000004</v>
      </c>
      <c r="Y1364" s="6">
        <f>+Q1364-X1364</f>
        <v>6.789999999999992</v>
      </c>
      <c r="Z1364" s="2"/>
      <c r="AA1364" s="2"/>
      <c r="AB1364" s="2"/>
      <c r="AC1364" s="3"/>
      <c r="AD1364" s="2"/>
      <c r="AE1364" s="2"/>
      <c r="AF1364" s="2"/>
      <c r="AG1364" s="2" t="s">
        <v>756</v>
      </c>
      <c r="AH1364" s="2" t="s">
        <v>755</v>
      </c>
      <c r="AI1364" s="2" t="s">
        <v>754</v>
      </c>
      <c r="AJ1364" s="2"/>
      <c r="AK1364" s="2" t="s">
        <v>762</v>
      </c>
      <c r="AL1364" s="2"/>
      <c r="AM1364" s="2"/>
      <c r="AN1364" s="2"/>
      <c r="AO1364" s="9" t="s">
        <v>759</v>
      </c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</row>
    <row r="1365" spans="2:58">
      <c r="B1365" s="2"/>
      <c r="C1365" s="1">
        <v>43711</v>
      </c>
      <c r="E1365" s="2" t="s">
        <v>751</v>
      </c>
      <c r="F1365" s="2"/>
      <c r="G1365" s="2" t="s">
        <v>752</v>
      </c>
      <c r="H1365" s="2" t="s">
        <v>753</v>
      </c>
      <c r="I1365" s="2"/>
      <c r="J1365" s="2">
        <v>1</v>
      </c>
      <c r="K1365" s="2"/>
      <c r="L1365" s="3">
        <v>83.5</v>
      </c>
      <c r="M1365" s="3">
        <v>8.35</v>
      </c>
      <c r="N1365" s="3">
        <v>4.28</v>
      </c>
      <c r="O1365" s="3"/>
      <c r="P1365" s="3">
        <v>6.89</v>
      </c>
      <c r="Q1365" s="6">
        <f>+L1365-M1365-N1365+P1365</f>
        <v>77.760000000000005</v>
      </c>
      <c r="R1365" s="3"/>
      <c r="S1365" s="3">
        <v>65.19</v>
      </c>
      <c r="T1365" s="3"/>
      <c r="U1365" s="3"/>
      <c r="V1365" s="3"/>
      <c r="W1365" s="3">
        <v>6.52</v>
      </c>
      <c r="X1365" s="2">
        <f>+S1365+T1365-W1365</f>
        <v>58.67</v>
      </c>
      <c r="Y1365" s="6">
        <f>+Q1365-X1365</f>
        <v>19.090000000000003</v>
      </c>
      <c r="Z1365" s="6">
        <f>+Y1365</f>
        <v>19.090000000000003</v>
      </c>
      <c r="AA1365" s="6">
        <f>+Y1365</f>
        <v>19.090000000000003</v>
      </c>
      <c r="AB1365" s="2"/>
      <c r="AC1365" s="3"/>
      <c r="AD1365" s="2"/>
      <c r="AE1365" s="2"/>
      <c r="AF1365" s="2"/>
      <c r="AG1365" s="2" t="s">
        <v>750</v>
      </c>
      <c r="AH1365" s="2" t="s">
        <v>749</v>
      </c>
      <c r="AI1365" s="2" t="s">
        <v>748</v>
      </c>
      <c r="AJ1365" s="2"/>
      <c r="AK1365" s="2" t="s">
        <v>761</v>
      </c>
      <c r="AL1365" s="2"/>
      <c r="AM1365" s="2"/>
      <c r="AN1365" s="2"/>
      <c r="AO1365" s="9" t="s">
        <v>760</v>
      </c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</row>
    <row r="1366" spans="2:58">
      <c r="B1366" s="2"/>
      <c r="E1366" s="2"/>
      <c r="F1366" s="2"/>
      <c r="G1366" s="2"/>
      <c r="H1366" s="2"/>
      <c r="I1366" s="2"/>
      <c r="J1366" s="2"/>
      <c r="K1366" s="2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 t="s">
        <v>619</v>
      </c>
      <c r="Y1366" s="3"/>
      <c r="Z1366" s="2"/>
      <c r="AA1366" s="2"/>
      <c r="AB1366" s="2"/>
      <c r="AC1366" s="3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</row>
    <row r="1367" spans="2:58">
      <c r="B1367" s="2">
        <v>3</v>
      </c>
      <c r="C1367" s="1">
        <v>43710</v>
      </c>
      <c r="E1367" s="2" t="s">
        <v>393</v>
      </c>
      <c r="F1367" s="2"/>
      <c r="G1367" s="2" t="s">
        <v>740</v>
      </c>
      <c r="H1367" s="2" t="s">
        <v>741</v>
      </c>
      <c r="I1367" s="2"/>
      <c r="J1367" s="2">
        <v>1</v>
      </c>
      <c r="K1367" s="2"/>
      <c r="L1367" s="3">
        <v>59.96</v>
      </c>
      <c r="M1367" s="3">
        <v>5.99</v>
      </c>
      <c r="N1367" s="3">
        <v>3.16</v>
      </c>
      <c r="O1367" s="3"/>
      <c r="P1367" s="3">
        <v>4.95</v>
      </c>
      <c r="Q1367" s="6">
        <f>+L1367-M1367-N1367+P1367</f>
        <v>55.760000000000005</v>
      </c>
      <c r="R1367" s="3"/>
      <c r="S1367" s="3">
        <v>47.5</v>
      </c>
      <c r="T1367" s="3">
        <v>3.92</v>
      </c>
      <c r="U1367" s="3"/>
      <c r="V1367" s="3"/>
      <c r="W1367" s="3">
        <v>2.37</v>
      </c>
      <c r="X1367" s="2">
        <f>+S1367+T1367-W1367</f>
        <v>49.050000000000004</v>
      </c>
      <c r="Y1367" s="6">
        <f>+Q1367-X1367</f>
        <v>6.7100000000000009</v>
      </c>
      <c r="Z1367" s="2"/>
      <c r="AA1367" s="2"/>
      <c r="AB1367" s="2"/>
      <c r="AC1367" s="3"/>
      <c r="AD1367" s="2"/>
      <c r="AE1367" s="2"/>
      <c r="AF1367" s="2"/>
      <c r="AG1367" s="2" t="s">
        <v>716</v>
      </c>
      <c r="AH1367" s="2" t="s">
        <v>739</v>
      </c>
      <c r="AI1367" s="2" t="s">
        <v>738</v>
      </c>
      <c r="AJ1367" s="2"/>
      <c r="AK1367" s="2" t="s">
        <v>743</v>
      </c>
      <c r="AL1367" s="2" t="s">
        <v>4291</v>
      </c>
      <c r="AM1367" s="2"/>
      <c r="AN1367" s="2"/>
      <c r="AO1367" s="9" t="s">
        <v>742</v>
      </c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</row>
    <row r="1368" spans="2:58">
      <c r="B1368" s="2"/>
      <c r="C1368" s="1">
        <v>43710</v>
      </c>
      <c r="E1368" s="2" t="s">
        <v>721</v>
      </c>
      <c r="F1368" s="2"/>
      <c r="G1368" s="2" t="s">
        <v>734</v>
      </c>
      <c r="H1368" s="2" t="s">
        <v>735</v>
      </c>
      <c r="I1368" s="2"/>
      <c r="J1368" s="2">
        <v>1</v>
      </c>
      <c r="K1368" s="2"/>
      <c r="L1368" s="3">
        <v>50.5</v>
      </c>
      <c r="M1368" s="3">
        <v>5.05</v>
      </c>
      <c r="N1368" s="3">
        <v>2.68</v>
      </c>
      <c r="O1368" s="3"/>
      <c r="P1368" s="3">
        <v>3.54</v>
      </c>
      <c r="Q1368" s="6">
        <f>+L1368-M1368-N1368+P1368</f>
        <v>46.31</v>
      </c>
      <c r="R1368" s="3"/>
      <c r="S1368" s="3">
        <v>49.99</v>
      </c>
      <c r="T1368" s="3">
        <v>0</v>
      </c>
      <c r="U1368" s="3"/>
      <c r="V1368" s="3"/>
      <c r="W1368" s="3">
        <v>0</v>
      </c>
      <c r="X1368" s="2">
        <f>+S1368+T1368-W1368</f>
        <v>49.99</v>
      </c>
      <c r="Y1368" s="6">
        <f>+Q1368-X1368</f>
        <v>-3.6799999999999997</v>
      </c>
      <c r="Z1368" s="2"/>
      <c r="AA1368" s="2"/>
      <c r="AB1368" s="2"/>
      <c r="AC1368" s="3"/>
      <c r="AD1368" s="2"/>
      <c r="AE1368" s="2"/>
      <c r="AF1368" s="2"/>
      <c r="AG1368" s="2" t="s">
        <v>733</v>
      </c>
      <c r="AH1368" s="2" t="s">
        <v>732</v>
      </c>
      <c r="AI1368" s="2" t="s">
        <v>731</v>
      </c>
      <c r="AJ1368" s="2"/>
      <c r="AK1368" s="2" t="s">
        <v>737</v>
      </c>
      <c r="AL1368" s="2" t="s">
        <v>4292</v>
      </c>
      <c r="AM1368" s="2"/>
      <c r="AN1368" s="2"/>
      <c r="AO1368" s="9" t="s">
        <v>736</v>
      </c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</row>
    <row r="1369" spans="2:58">
      <c r="B1369" s="2"/>
      <c r="C1369" s="1">
        <v>43710</v>
      </c>
      <c r="E1369" s="2" t="s">
        <v>720</v>
      </c>
      <c r="F1369" s="2"/>
      <c r="G1369" s="2" t="s">
        <v>725</v>
      </c>
      <c r="H1369" s="2" t="s">
        <v>726</v>
      </c>
      <c r="I1369" s="2"/>
      <c r="J1369" s="2">
        <v>1</v>
      </c>
      <c r="K1369" s="2"/>
      <c r="L1369" s="3">
        <v>83.5</v>
      </c>
      <c r="M1369" s="3">
        <v>8.35</v>
      </c>
      <c r="N1369" s="3">
        <v>4.1900000000000004</v>
      </c>
      <c r="O1369" s="3"/>
      <c r="P1369" s="3">
        <v>5.01</v>
      </c>
      <c r="Q1369" s="6">
        <f>+L1369-M1369-N1369+P1369</f>
        <v>75.970000000000013</v>
      </c>
      <c r="R1369" s="3"/>
      <c r="S1369" s="3">
        <v>65.19</v>
      </c>
      <c r="T1369" s="3"/>
      <c r="U1369" s="3"/>
      <c r="V1369" s="3"/>
      <c r="W1369" s="3">
        <v>6.52</v>
      </c>
      <c r="X1369" s="2">
        <f>+S1369+T1369-W1369</f>
        <v>58.67</v>
      </c>
      <c r="Y1369" s="6">
        <f>+Q1369-X1369</f>
        <v>17.300000000000011</v>
      </c>
      <c r="Z1369" s="6">
        <f>+Y1369</f>
        <v>17.300000000000011</v>
      </c>
      <c r="AA1369" s="6">
        <f>+Y1369</f>
        <v>17.300000000000011</v>
      </c>
      <c r="AB1369" s="2"/>
      <c r="AC1369" s="3"/>
      <c r="AD1369" s="2"/>
      <c r="AE1369" s="2"/>
      <c r="AF1369" s="2"/>
      <c r="AG1369" s="2" t="s">
        <v>724</v>
      </c>
      <c r="AH1369" s="2" t="s">
        <v>723</v>
      </c>
      <c r="AI1369" s="2" t="s">
        <v>697</v>
      </c>
      <c r="AJ1369" s="2"/>
      <c r="AK1369" s="2" t="s">
        <v>722</v>
      </c>
      <c r="AL1369" s="2" t="s">
        <v>4293</v>
      </c>
      <c r="AM1369" s="2"/>
      <c r="AN1369" s="2"/>
      <c r="AO1369" s="2" t="s">
        <v>727</v>
      </c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</row>
    <row r="1370" spans="2:58">
      <c r="B1370" s="2"/>
      <c r="E1370" s="2"/>
      <c r="F1370" s="2"/>
      <c r="H1370" s="2"/>
      <c r="I1370" s="2"/>
      <c r="J1370" s="2"/>
      <c r="K1370" s="2"/>
      <c r="L1370" s="3"/>
      <c r="M1370" s="3"/>
      <c r="N1370" s="3"/>
      <c r="O1370" s="3"/>
      <c r="P1370" s="3"/>
      <c r="Q1370" s="3"/>
      <c r="R1370" s="3"/>
      <c r="S1370" s="3"/>
      <c r="T1370" s="3" t="s">
        <v>713</v>
      </c>
      <c r="U1370" s="3"/>
      <c r="V1370" s="3"/>
      <c r="W1370" s="3"/>
      <c r="X1370" s="3"/>
      <c r="Y1370" s="3"/>
      <c r="Z1370" s="2"/>
      <c r="AA1370" s="2"/>
      <c r="AB1370" s="2"/>
      <c r="AC1370" s="3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</row>
    <row r="1371" spans="2:58">
      <c r="B1371" s="2">
        <v>3</v>
      </c>
      <c r="C1371" s="1">
        <v>43709</v>
      </c>
      <c r="E1371" s="2" t="s">
        <v>393</v>
      </c>
      <c r="F1371" s="2"/>
      <c r="G1371" s="2" t="s">
        <v>717</v>
      </c>
      <c r="H1371" s="2" t="s">
        <v>718</v>
      </c>
      <c r="I1371" s="2"/>
      <c r="J1371" s="2">
        <v>1</v>
      </c>
      <c r="K1371" s="2"/>
      <c r="L1371" s="3">
        <v>59.95</v>
      </c>
      <c r="M1371" s="3">
        <v>5.99</v>
      </c>
      <c r="N1371" s="3">
        <v>3.16</v>
      </c>
      <c r="O1371" s="3"/>
      <c r="P1371" s="3">
        <v>4.95</v>
      </c>
      <c r="Q1371" s="6">
        <f>+L1371-M1371-N1371+P1371</f>
        <v>55.75</v>
      </c>
      <c r="R1371" s="3"/>
      <c r="S1371" s="3">
        <v>47.5</v>
      </c>
      <c r="T1371" s="3">
        <v>3.92</v>
      </c>
      <c r="U1371" s="3"/>
      <c r="V1371" s="3"/>
      <c r="W1371" s="3">
        <v>2.37</v>
      </c>
      <c r="X1371" s="2">
        <f>+S1371+T1371-W1371</f>
        <v>49.050000000000004</v>
      </c>
      <c r="Y1371" s="6">
        <f>+Q1371-X1371</f>
        <v>6.6999999999999957</v>
      </c>
      <c r="Z1371" s="2"/>
      <c r="AA1371" s="2"/>
      <c r="AB1371" s="2"/>
      <c r="AC1371" s="3"/>
      <c r="AD1371" s="2"/>
      <c r="AE1371" s="2"/>
      <c r="AF1371" s="2"/>
      <c r="AG1371" s="2" t="s">
        <v>716</v>
      </c>
      <c r="AH1371" s="2" t="s">
        <v>715</v>
      </c>
      <c r="AI1371" s="2" t="s">
        <v>714</v>
      </c>
      <c r="AJ1371" s="2"/>
      <c r="AK1371" s="2" t="s">
        <v>722</v>
      </c>
      <c r="AL1371" s="2" t="s">
        <v>4294</v>
      </c>
      <c r="AM1371" s="2"/>
      <c r="AN1371" s="2"/>
      <c r="AO1371" s="2" t="s">
        <v>730</v>
      </c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</row>
    <row r="1372" spans="2:58">
      <c r="B1372" s="2"/>
      <c r="C1372" s="1">
        <v>43709</v>
      </c>
      <c r="E1372" s="2" t="s">
        <v>707</v>
      </c>
      <c r="F1372" s="2"/>
      <c r="G1372" s="2" t="s">
        <v>711</v>
      </c>
      <c r="H1372" s="2" t="s">
        <v>712</v>
      </c>
      <c r="I1372" s="2"/>
      <c r="J1372" s="2">
        <v>1</v>
      </c>
      <c r="K1372" s="2"/>
      <c r="L1372" s="3">
        <v>83.5</v>
      </c>
      <c r="M1372" s="3">
        <v>8.35</v>
      </c>
      <c r="N1372" s="3">
        <v>4.3</v>
      </c>
      <c r="O1372" s="3"/>
      <c r="P1372" s="3">
        <v>7.52</v>
      </c>
      <c r="Q1372" s="6">
        <f>+L1372-M1372-N1372+P1372</f>
        <v>78.37</v>
      </c>
      <c r="R1372" s="3"/>
      <c r="S1372" s="3">
        <v>65.19</v>
      </c>
      <c r="T1372" s="3"/>
      <c r="U1372" s="3"/>
      <c r="V1372" s="3"/>
      <c r="W1372" s="3">
        <v>6.52</v>
      </c>
      <c r="X1372" s="2">
        <f>+S1372+T1372-W1372</f>
        <v>58.67</v>
      </c>
      <c r="Y1372" s="6">
        <f>+Q1372-X1372</f>
        <v>19.700000000000003</v>
      </c>
      <c r="Z1372" s="6">
        <f>+Y1372</f>
        <v>19.700000000000003</v>
      </c>
      <c r="AA1372" s="6">
        <f>+Y1372</f>
        <v>19.700000000000003</v>
      </c>
      <c r="AB1372" s="2"/>
      <c r="AC1372" s="3"/>
      <c r="AD1372" s="2"/>
      <c r="AE1372" s="2"/>
      <c r="AF1372" s="2"/>
      <c r="AG1372" s="2" t="s">
        <v>710</v>
      </c>
      <c r="AH1372" s="2" t="s">
        <v>709</v>
      </c>
      <c r="AI1372" s="2" t="s">
        <v>708</v>
      </c>
      <c r="AJ1372" s="2"/>
      <c r="AK1372" s="2" t="s">
        <v>728</v>
      </c>
      <c r="AL1372" s="2" t="s">
        <v>4295</v>
      </c>
      <c r="AM1372" s="2"/>
      <c r="AN1372" s="2"/>
      <c r="AO1372" s="9" t="s">
        <v>729</v>
      </c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</row>
    <row r="1373" spans="2:58">
      <c r="B1373" s="2"/>
      <c r="C1373" s="1">
        <v>43709</v>
      </c>
      <c r="E1373" s="2" t="s">
        <v>653</v>
      </c>
      <c r="F1373" s="2"/>
      <c r="G1373" s="2" t="s">
        <v>702</v>
      </c>
      <c r="H1373" s="2" t="s">
        <v>703</v>
      </c>
      <c r="I1373" s="2"/>
      <c r="J1373" s="2">
        <v>1</v>
      </c>
      <c r="K1373" s="2"/>
      <c r="L1373" s="3">
        <v>11.95</v>
      </c>
      <c r="M1373" s="3">
        <v>1.19</v>
      </c>
      <c r="N1373" s="3">
        <v>0.79</v>
      </c>
      <c r="O1373" s="3"/>
      <c r="P1373" s="3">
        <v>0.72</v>
      </c>
      <c r="Q1373" s="6">
        <f>+L1373-M1373-N1373+P1373</f>
        <v>10.69</v>
      </c>
      <c r="R1373" s="3"/>
      <c r="S1373" s="3">
        <v>8.39</v>
      </c>
      <c r="T1373" s="3">
        <v>0.5</v>
      </c>
      <c r="U1373" s="3"/>
      <c r="V1373" s="3"/>
      <c r="W1373" s="3"/>
      <c r="X1373" s="2">
        <f>+S1373+T1373-W1373</f>
        <v>8.89</v>
      </c>
      <c r="Y1373" s="6">
        <f>+Q1373-X1373</f>
        <v>1.7999999999999989</v>
      </c>
      <c r="Z1373" s="2"/>
      <c r="AA1373" s="2"/>
      <c r="AB1373" s="2"/>
      <c r="AC1373" s="3"/>
      <c r="AD1373" s="2"/>
      <c r="AE1373" s="2"/>
      <c r="AF1373" s="2"/>
      <c r="AG1373" s="2" t="s">
        <v>701</v>
      </c>
      <c r="AH1373" s="2" t="s">
        <v>700</v>
      </c>
      <c r="AI1373" s="2" t="s">
        <v>699</v>
      </c>
      <c r="AJ1373" s="2"/>
      <c r="AK1373" s="2" t="s">
        <v>705</v>
      </c>
      <c r="AL1373" s="2" t="s">
        <v>4296</v>
      </c>
      <c r="AM1373" s="2"/>
      <c r="AN1373" s="2"/>
      <c r="AO1373" s="9" t="s">
        <v>704</v>
      </c>
      <c r="AP1373" s="2" t="s">
        <v>706</v>
      </c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</row>
    <row r="1374" spans="2:58">
      <c r="B1374" s="6">
        <f>SUM(A1297:A1373)</f>
        <v>0</v>
      </c>
      <c r="C1374" s="6">
        <f>SUM(B1297:B1373)</f>
        <v>49</v>
      </c>
      <c r="E1374" s="2"/>
      <c r="F1374" s="2"/>
      <c r="G1374" s="2"/>
      <c r="H1374" s="2"/>
      <c r="I1374" s="2"/>
      <c r="J1374" s="2"/>
      <c r="K1374" s="2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6">
        <f>SUM(Y1332:Y1373)</f>
        <v>157.15000000000003</v>
      </c>
      <c r="AA1374" s="2">
        <f>SUM(AA1290:AA1372)</f>
        <v>134.11000000000007</v>
      </c>
      <c r="AB1374" s="2"/>
      <c r="AC1374" s="3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</row>
    <row r="1375" spans="2:58">
      <c r="B1375" s="2">
        <v>3</v>
      </c>
      <c r="C1375" s="1">
        <v>43708</v>
      </c>
      <c r="E1375" s="2" t="s">
        <v>61</v>
      </c>
      <c r="F1375" s="2"/>
      <c r="G1375" s="2" t="s">
        <v>1202</v>
      </c>
      <c r="H1375" s="2" t="s">
        <v>1201</v>
      </c>
      <c r="I1375" s="2"/>
      <c r="J1375" s="2">
        <v>1</v>
      </c>
      <c r="K1375" s="2"/>
      <c r="L1375" s="3">
        <v>35.799999999999997</v>
      </c>
      <c r="M1375" s="3">
        <v>3.58</v>
      </c>
      <c r="N1375" s="3">
        <v>1.82</v>
      </c>
      <c r="O1375" s="3"/>
      <c r="P1375" s="3">
        <v>3.22</v>
      </c>
      <c r="Q1375" s="6">
        <f>+L1375-M1375-N1375+P1375</f>
        <v>33.619999999999997</v>
      </c>
      <c r="R1375" s="3"/>
      <c r="S1375" s="3">
        <v>25.98</v>
      </c>
      <c r="T1375" s="3">
        <v>2.0099999999999998</v>
      </c>
      <c r="U1375" s="3"/>
      <c r="V1375" s="3"/>
      <c r="W1375" s="3"/>
      <c r="X1375" s="2">
        <f>+S1375+T1375-W1375</f>
        <v>27.990000000000002</v>
      </c>
      <c r="Y1375" s="6">
        <f>+Q1375-X1375</f>
        <v>5.6299999999999955</v>
      </c>
      <c r="Z1375" s="2"/>
      <c r="AA1375" s="2"/>
      <c r="AB1375" s="2"/>
      <c r="AC1375" s="3"/>
      <c r="AD1375" s="2"/>
      <c r="AE1375" s="2"/>
      <c r="AF1375" s="2"/>
      <c r="AG1375" s="2" t="s">
        <v>657</v>
      </c>
      <c r="AH1375" s="2" t="s">
        <v>698</v>
      </c>
      <c r="AI1375" s="2" t="s">
        <v>697</v>
      </c>
      <c r="AJ1375" s="2"/>
      <c r="AK1375" s="2"/>
      <c r="AL1375" s="2" t="s">
        <v>4297</v>
      </c>
      <c r="AM1375" s="2"/>
      <c r="AN1375" s="2"/>
      <c r="AO1375" s="9" t="s">
        <v>719</v>
      </c>
      <c r="AP1375" s="2" t="s">
        <v>706</v>
      </c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</row>
    <row r="1376" spans="2:58">
      <c r="B1376" s="2"/>
      <c r="C1376" s="1">
        <v>43708</v>
      </c>
      <c r="E1376" s="2" t="s">
        <v>393</v>
      </c>
      <c r="F1376" s="2"/>
      <c r="G1376" s="2" t="s">
        <v>692</v>
      </c>
      <c r="H1376" s="2" t="s">
        <v>693</v>
      </c>
      <c r="I1376" s="2"/>
      <c r="J1376" s="2">
        <v>1</v>
      </c>
      <c r="K1376" s="2"/>
      <c r="L1376" s="3">
        <v>59.95</v>
      </c>
      <c r="M1376" s="3">
        <v>5.99</v>
      </c>
      <c r="N1376" s="3">
        <v>2.85</v>
      </c>
      <c r="O1376" s="3"/>
      <c r="P1376" s="3">
        <v>5.4</v>
      </c>
      <c r="Q1376" s="6">
        <f>+L1376-M1376-N1376+P1376</f>
        <v>56.51</v>
      </c>
      <c r="R1376" s="3"/>
      <c r="S1376" s="3">
        <v>49.89</v>
      </c>
      <c r="T1376" s="3">
        <v>4.74</v>
      </c>
      <c r="U1376" s="3"/>
      <c r="V1376" s="3"/>
      <c r="W1376" s="3"/>
      <c r="X1376" s="2">
        <f>+S1376+T1376-W1376</f>
        <v>54.63</v>
      </c>
      <c r="Y1376" s="6">
        <f>+Q1376-X1376</f>
        <v>1.8799999999999955</v>
      </c>
      <c r="Z1376" s="2" t="s">
        <v>619</v>
      </c>
      <c r="AA1376" s="2"/>
      <c r="AB1376" s="2"/>
      <c r="AC1376" s="3"/>
      <c r="AD1376" s="2"/>
      <c r="AE1376" s="2"/>
      <c r="AF1376" s="2"/>
      <c r="AG1376" s="2" t="s">
        <v>657</v>
      </c>
      <c r="AH1376" s="2" t="s">
        <v>691</v>
      </c>
      <c r="AI1376" s="2" t="s">
        <v>690</v>
      </c>
      <c r="AJ1376" s="2"/>
      <c r="AK1376" s="2" t="s">
        <v>696</v>
      </c>
      <c r="AL1376" s="2" t="s">
        <v>4298</v>
      </c>
      <c r="AM1376" s="2"/>
      <c r="AN1376" s="2"/>
      <c r="AO1376" s="2" t="s">
        <v>694</v>
      </c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</row>
    <row r="1377" spans="2:58">
      <c r="B1377" s="2"/>
      <c r="C1377" s="1">
        <v>43708</v>
      </c>
      <c r="E1377" s="2" t="s">
        <v>393</v>
      </c>
      <c r="F1377" s="2"/>
      <c r="G1377" s="2" t="s">
        <v>687</v>
      </c>
      <c r="H1377" s="2" t="s">
        <v>688</v>
      </c>
      <c r="I1377" s="2"/>
      <c r="J1377" s="2">
        <v>1</v>
      </c>
      <c r="K1377" s="2"/>
      <c r="L1377" s="3">
        <v>59.7</v>
      </c>
      <c r="M1377" s="3">
        <v>5.97</v>
      </c>
      <c r="N1377" s="3">
        <v>2.82</v>
      </c>
      <c r="O1377" s="3"/>
      <c r="P1377" s="3">
        <v>4.93</v>
      </c>
      <c r="Q1377" s="6">
        <f>+L1377-M1377-N1377+P1377</f>
        <v>55.84</v>
      </c>
      <c r="R1377" s="3"/>
      <c r="S1377" s="3">
        <v>48.9</v>
      </c>
      <c r="T1377" s="3">
        <v>3.3</v>
      </c>
      <c r="U1377" s="3"/>
      <c r="V1377" s="3"/>
      <c r="W1377" s="3">
        <v>-1.52</v>
      </c>
      <c r="X1377" s="2">
        <f>+S1377+T1377-W1377</f>
        <v>53.72</v>
      </c>
      <c r="Y1377" s="6">
        <f>+Q1377-X1377</f>
        <v>2.1200000000000045</v>
      </c>
      <c r="Z1377" s="2"/>
      <c r="AA1377" s="2"/>
      <c r="AB1377" s="2"/>
      <c r="AC1377" s="3"/>
      <c r="AD1377" s="2"/>
      <c r="AE1377" s="2"/>
      <c r="AF1377" s="2"/>
      <c r="AG1377" s="2" t="s">
        <v>686</v>
      </c>
      <c r="AH1377" s="2" t="s">
        <v>685</v>
      </c>
      <c r="AI1377" s="2" t="s">
        <v>684</v>
      </c>
      <c r="AJ1377" s="2"/>
      <c r="AK1377" s="2" t="s">
        <v>689</v>
      </c>
      <c r="AL1377" s="2" t="s">
        <v>4298</v>
      </c>
      <c r="AM1377" s="2"/>
      <c r="AN1377" s="2"/>
      <c r="AO1377" s="2" t="s">
        <v>695</v>
      </c>
      <c r="AP1377" s="2"/>
      <c r="AQ1377" s="2"/>
      <c r="AR1377" s="2" t="s">
        <v>744</v>
      </c>
      <c r="AS1377" s="2" t="s">
        <v>745</v>
      </c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</row>
    <row r="1378" spans="2:58">
      <c r="B1378" s="2"/>
      <c r="E1378" s="2"/>
      <c r="F1378" s="2"/>
      <c r="G1378" s="2"/>
      <c r="H1378" s="2"/>
      <c r="I1378" s="2"/>
      <c r="J1378" s="2"/>
      <c r="K1378" s="2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 t="s">
        <v>619</v>
      </c>
      <c r="Y1378" s="3"/>
      <c r="Z1378" s="2"/>
      <c r="AA1378" s="2"/>
      <c r="AB1378" s="2"/>
      <c r="AC1378" s="3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</row>
    <row r="1379" spans="2:58">
      <c r="B1379" s="2">
        <v>2</v>
      </c>
      <c r="C1379" s="1">
        <v>43707</v>
      </c>
      <c r="E1379" s="2" t="s">
        <v>679</v>
      </c>
      <c r="F1379" s="2"/>
      <c r="G1379" s="2" t="s">
        <v>680</v>
      </c>
      <c r="H1379" s="2" t="s">
        <v>681</v>
      </c>
      <c r="I1379" s="2"/>
      <c r="J1379" s="2">
        <v>1</v>
      </c>
      <c r="K1379" s="2"/>
      <c r="L1379" s="3">
        <v>38</v>
      </c>
      <c r="M1379" s="3">
        <v>3.8</v>
      </c>
      <c r="N1379" s="3">
        <v>1.89</v>
      </c>
      <c r="O1379" s="3" t="s">
        <v>619</v>
      </c>
      <c r="P1379" s="3">
        <v>2.66</v>
      </c>
      <c r="Q1379" s="6">
        <f>+L1379-M1379-N1379+P1379</f>
        <v>34.97</v>
      </c>
      <c r="R1379" s="3"/>
      <c r="S1379" s="3">
        <v>27.99</v>
      </c>
      <c r="T1379" s="3"/>
      <c r="U1379" s="3"/>
      <c r="V1379" s="3"/>
      <c r="W1379" s="3"/>
      <c r="X1379" s="2">
        <f>+S1379+T1379-W1379</f>
        <v>27.99</v>
      </c>
      <c r="Y1379" s="6">
        <f>+Q1379-X1379</f>
        <v>6.98</v>
      </c>
      <c r="Z1379" s="2"/>
      <c r="AA1379" s="2"/>
      <c r="AB1379" s="2"/>
      <c r="AC1379" s="3"/>
      <c r="AD1379" s="2"/>
      <c r="AE1379" s="2"/>
      <c r="AF1379" s="2"/>
      <c r="AG1379" s="2" t="s">
        <v>637</v>
      </c>
      <c r="AH1379" s="2" t="s">
        <v>678</v>
      </c>
      <c r="AI1379" s="4" t="s">
        <v>677</v>
      </c>
      <c r="AJ1379" s="2"/>
      <c r="AK1379" s="2" t="s">
        <v>683</v>
      </c>
      <c r="AL1379" s="2" t="s">
        <v>4299</v>
      </c>
      <c r="AM1379" s="2"/>
      <c r="AN1379" s="2"/>
      <c r="AO1379" s="2" t="s">
        <v>682</v>
      </c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</row>
    <row r="1380" spans="2:58">
      <c r="B1380" s="2"/>
      <c r="C1380" s="1">
        <v>43707</v>
      </c>
      <c r="E1380" s="2" t="s">
        <v>670</v>
      </c>
      <c r="F1380" s="2"/>
      <c r="G1380" s="2" t="s">
        <v>673</v>
      </c>
      <c r="H1380" s="2" t="s">
        <v>674</v>
      </c>
      <c r="I1380" s="2"/>
      <c r="J1380" s="2">
        <v>1</v>
      </c>
      <c r="K1380" s="2"/>
      <c r="L1380" s="3">
        <v>83.5</v>
      </c>
      <c r="M1380" s="3">
        <v>8.35</v>
      </c>
      <c r="N1380" s="3">
        <v>3.85</v>
      </c>
      <c r="O1380" s="3"/>
      <c r="P1380" s="3">
        <v>7.52</v>
      </c>
      <c r="Q1380" s="6">
        <f>+L1380-M1380-N1380+P1380</f>
        <v>78.820000000000007</v>
      </c>
      <c r="R1380" s="3"/>
      <c r="S1380" s="3">
        <v>65.19</v>
      </c>
      <c r="T1380" s="3"/>
      <c r="U1380" s="3"/>
      <c r="V1380" s="3"/>
      <c r="W1380" s="3">
        <v>6.52</v>
      </c>
      <c r="X1380" s="2">
        <f>+S1380+T1380-W1380</f>
        <v>58.67</v>
      </c>
      <c r="Y1380" s="6">
        <f>+Q1380-X1380</f>
        <v>20.150000000000006</v>
      </c>
      <c r="Z1380" s="2"/>
      <c r="AA1380" s="2"/>
      <c r="AB1380" s="2"/>
      <c r="AC1380" s="3"/>
      <c r="AD1380" s="2"/>
      <c r="AE1380" s="2"/>
      <c r="AF1380" s="2"/>
      <c r="AG1380" s="2" t="s">
        <v>657</v>
      </c>
      <c r="AH1380" s="2" t="s">
        <v>672</v>
      </c>
      <c r="AI1380" s="4" t="s">
        <v>671</v>
      </c>
      <c r="AJ1380" s="2"/>
      <c r="AK1380" s="2" t="s">
        <v>675</v>
      </c>
      <c r="AL1380" s="2" t="s">
        <v>4300</v>
      </c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</row>
    <row r="1381" spans="2:58">
      <c r="B1381" s="2"/>
      <c r="C1381" s="1" t="s">
        <v>619</v>
      </c>
      <c r="E1381" s="2"/>
      <c r="F1381" s="2"/>
      <c r="G1381" s="2"/>
      <c r="H1381" s="2"/>
      <c r="I1381" s="2"/>
      <c r="J1381" s="2"/>
      <c r="K1381" s="2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 t="s">
        <v>619</v>
      </c>
      <c r="Y1381" s="3"/>
      <c r="Z1381" s="2"/>
      <c r="AA1381" s="2"/>
      <c r="AB1381" s="2"/>
      <c r="AC1381" s="3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</row>
    <row r="1382" spans="2:58">
      <c r="B1382" s="2">
        <v>1</v>
      </c>
      <c r="C1382" s="1">
        <v>43706</v>
      </c>
      <c r="E1382" s="2" t="s">
        <v>663</v>
      </c>
      <c r="F1382" s="2"/>
      <c r="G1382" s="2" t="s">
        <v>664</v>
      </c>
      <c r="H1382" s="2" t="s">
        <v>665</v>
      </c>
      <c r="I1382" s="2"/>
      <c r="J1382" s="2">
        <v>1</v>
      </c>
      <c r="K1382" s="2"/>
      <c r="L1382" s="3">
        <v>16.7</v>
      </c>
      <c r="M1382" s="3">
        <v>1.67</v>
      </c>
      <c r="N1382" s="3">
        <v>0.95</v>
      </c>
      <c r="O1382" s="3"/>
      <c r="P1382" s="3"/>
      <c r="Q1382" s="6">
        <f>+L1382-M1382-N1382+P1382</f>
        <v>14.08</v>
      </c>
      <c r="R1382" s="3"/>
      <c r="S1382" s="3">
        <v>12.39</v>
      </c>
      <c r="T1382" s="3">
        <v>0.62</v>
      </c>
      <c r="U1382" s="3"/>
      <c r="V1382" s="3"/>
      <c r="W1382" s="3"/>
      <c r="X1382" s="2">
        <f>+S1382+T1382-W1382</f>
        <v>13.01</v>
      </c>
      <c r="Y1382" s="6">
        <f>+Q1382-X1382</f>
        <v>1.0700000000000003</v>
      </c>
      <c r="Z1382" s="2"/>
      <c r="AA1382" s="2"/>
      <c r="AB1382" s="2"/>
      <c r="AC1382" s="3"/>
      <c r="AD1382" s="2"/>
      <c r="AE1382" s="2"/>
      <c r="AF1382" s="2"/>
      <c r="AG1382" s="2" t="s">
        <v>668</v>
      </c>
      <c r="AH1382" s="2" t="s">
        <v>667</v>
      </c>
      <c r="AI1382" s="2" t="s">
        <v>666</v>
      </c>
      <c r="AJ1382" s="2"/>
      <c r="AK1382" s="2" t="s">
        <v>669</v>
      </c>
      <c r="AL1382" s="2" t="s">
        <v>4301</v>
      </c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</row>
    <row r="1383" spans="2:58">
      <c r="B1383" s="2"/>
      <c r="E1383" s="2"/>
      <c r="F1383" s="2"/>
      <c r="G1383" s="2"/>
      <c r="H1383" s="2"/>
      <c r="I1383" s="2"/>
      <c r="J1383" s="2"/>
      <c r="K1383" s="2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 t="s">
        <v>619</v>
      </c>
      <c r="Y1383" s="3"/>
      <c r="Z1383" s="2"/>
      <c r="AA1383" s="2"/>
      <c r="AB1383" s="2"/>
      <c r="AC1383" s="3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</row>
    <row r="1384" spans="2:58">
      <c r="B1384" s="2">
        <v>2</v>
      </c>
      <c r="C1384" s="1">
        <v>43705</v>
      </c>
      <c r="E1384" s="2" t="s">
        <v>61</v>
      </c>
      <c r="F1384" s="2"/>
      <c r="G1384" s="2" t="s">
        <v>658</v>
      </c>
      <c r="H1384" s="2" t="s">
        <v>659</v>
      </c>
      <c r="I1384" s="2"/>
      <c r="J1384" s="2">
        <v>1</v>
      </c>
      <c r="K1384" s="2"/>
      <c r="L1384" s="3">
        <v>35.799999999999997</v>
      </c>
      <c r="M1384" s="3">
        <v>3.58</v>
      </c>
      <c r="N1384" s="3">
        <v>1.82</v>
      </c>
      <c r="O1384" s="3"/>
      <c r="P1384" s="3">
        <v>3.22</v>
      </c>
      <c r="Q1384" s="6">
        <f>+L1384-M1384-N1384+P1384</f>
        <v>33.619999999999997</v>
      </c>
      <c r="R1384" s="3"/>
      <c r="S1384" s="3">
        <v>25.98</v>
      </c>
      <c r="T1384" s="3">
        <v>2.14</v>
      </c>
      <c r="U1384" s="3"/>
      <c r="V1384" s="3"/>
      <c r="W1384" s="3">
        <v>-1</v>
      </c>
      <c r="X1384" s="2">
        <f>+S1384+T1384-W1384</f>
        <v>29.12</v>
      </c>
      <c r="Y1384" s="6">
        <f>+Q1384-X1384</f>
        <v>4.4999999999999964</v>
      </c>
      <c r="Z1384" s="2"/>
      <c r="AA1384" s="2"/>
      <c r="AB1384" s="2"/>
      <c r="AC1384" s="3"/>
      <c r="AD1384" s="2"/>
      <c r="AE1384" s="2"/>
      <c r="AF1384" s="2"/>
      <c r="AG1384" s="2" t="s">
        <v>657</v>
      </c>
      <c r="AH1384" s="4" t="s">
        <v>656</v>
      </c>
      <c r="AI1384" s="2" t="s">
        <v>655</v>
      </c>
      <c r="AJ1384" s="2"/>
      <c r="AK1384" s="2" t="s">
        <v>662</v>
      </c>
      <c r="AL1384" s="2" t="s">
        <v>4302</v>
      </c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</row>
    <row r="1385" spans="2:58">
      <c r="B1385" s="2"/>
      <c r="C1385" s="1">
        <v>43705</v>
      </c>
      <c r="E1385" s="2" t="s">
        <v>653</v>
      </c>
      <c r="F1385" s="2"/>
      <c r="G1385" s="2" t="s">
        <v>1964</v>
      </c>
      <c r="H1385" s="2" t="s">
        <v>654</v>
      </c>
      <c r="I1385" s="2"/>
      <c r="J1385" s="2">
        <v>1</v>
      </c>
      <c r="K1385" s="2"/>
      <c r="L1385" s="3">
        <v>11.95</v>
      </c>
      <c r="M1385" s="3">
        <v>1.19</v>
      </c>
      <c r="N1385" s="3">
        <v>0.8</v>
      </c>
      <c r="O1385" s="3"/>
      <c r="P1385" s="3">
        <v>0.84</v>
      </c>
      <c r="Q1385" s="6">
        <f>+L1385-M1385-N1385+P1385</f>
        <v>10.799999999999999</v>
      </c>
      <c r="R1385" s="3"/>
      <c r="S1385" s="3">
        <v>8.39</v>
      </c>
      <c r="T1385" s="3">
        <v>0.5</v>
      </c>
      <c r="U1385" s="3"/>
      <c r="V1385" s="3"/>
      <c r="W1385" s="3"/>
      <c r="X1385" s="2">
        <f>+S1385+T1385-W1385</f>
        <v>8.89</v>
      </c>
      <c r="Y1385" s="6">
        <f>+Q1385-X1385</f>
        <v>1.9099999999999984</v>
      </c>
      <c r="Z1385" s="2"/>
      <c r="AA1385" s="2"/>
      <c r="AB1385" s="2"/>
      <c r="AC1385" s="3"/>
      <c r="AD1385" s="2"/>
      <c r="AE1385" s="2"/>
      <c r="AF1385" s="2"/>
      <c r="AG1385" s="2" t="s">
        <v>652</v>
      </c>
      <c r="AH1385" s="2" t="s">
        <v>651</v>
      </c>
      <c r="AI1385" s="2" t="s">
        <v>650</v>
      </c>
      <c r="AJ1385" s="2"/>
      <c r="AK1385" s="2" t="s">
        <v>661</v>
      </c>
      <c r="AL1385" s="2" t="s">
        <v>4303</v>
      </c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</row>
    <row r="1386" spans="2:58">
      <c r="B1386" s="2"/>
      <c r="E1386" s="2"/>
      <c r="F1386" s="2"/>
      <c r="G1386" s="2"/>
      <c r="H1386" s="2"/>
      <c r="I1386" s="2"/>
      <c r="J1386" s="2"/>
      <c r="K1386" s="2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 t="s">
        <v>619</v>
      </c>
      <c r="Y1386" s="3"/>
      <c r="Z1386" s="2"/>
      <c r="AA1386" s="2"/>
      <c r="AB1386" s="2"/>
      <c r="AC1386" s="3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</row>
    <row r="1387" spans="2:58">
      <c r="B1387" s="2">
        <v>2</v>
      </c>
      <c r="C1387" s="1">
        <v>43704</v>
      </c>
      <c r="E1387" s="2" t="s">
        <v>178</v>
      </c>
      <c r="F1387" s="2"/>
      <c r="G1387" s="2" t="s">
        <v>649</v>
      </c>
      <c r="H1387" s="2" t="s">
        <v>676</v>
      </c>
      <c r="I1387" s="2"/>
      <c r="J1387" s="2">
        <v>1</v>
      </c>
      <c r="K1387" s="2"/>
      <c r="L1387" s="3">
        <v>25.6</v>
      </c>
      <c r="M1387" s="3">
        <v>2.56</v>
      </c>
      <c r="N1387" s="3">
        <v>1.37</v>
      </c>
      <c r="O1387" s="3"/>
      <c r="P1387" s="3">
        <v>1.79</v>
      </c>
      <c r="Q1387" s="6">
        <f>+L1387-M1387-N1387+P1387</f>
        <v>23.46</v>
      </c>
      <c r="R1387" s="3"/>
      <c r="S1387" s="3">
        <v>14.98</v>
      </c>
      <c r="T1387" s="3">
        <v>1.01</v>
      </c>
      <c r="U1387" s="3"/>
      <c r="V1387" s="3"/>
      <c r="W1387" s="3"/>
      <c r="X1387" s="2">
        <f>+S1387+T1387-W1387</f>
        <v>15.99</v>
      </c>
      <c r="Y1387" s="6">
        <f>+Q1387-X1387</f>
        <v>7.4700000000000006</v>
      </c>
      <c r="Z1387" s="2"/>
      <c r="AA1387" s="2"/>
      <c r="AB1387" s="2"/>
      <c r="AC1387" s="3"/>
      <c r="AD1387" s="2"/>
      <c r="AE1387" s="2"/>
      <c r="AF1387" s="2"/>
      <c r="AG1387" s="2" t="s">
        <v>648</v>
      </c>
      <c r="AH1387" s="2" t="s">
        <v>647</v>
      </c>
      <c r="AI1387" s="2" t="s">
        <v>646</v>
      </c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</row>
    <row r="1388" spans="2:58">
      <c r="B1388" s="2"/>
      <c r="C1388" s="1">
        <v>43704</v>
      </c>
      <c r="E1388" s="2" t="s">
        <v>643</v>
      </c>
      <c r="F1388" s="2"/>
      <c r="G1388" s="2" t="s">
        <v>644</v>
      </c>
      <c r="H1388" s="2" t="s">
        <v>645</v>
      </c>
      <c r="I1388" s="2"/>
      <c r="J1388" s="2">
        <v>1</v>
      </c>
      <c r="K1388" s="2"/>
      <c r="L1388" s="3">
        <v>42.5</v>
      </c>
      <c r="M1388" s="3">
        <v>4.25</v>
      </c>
      <c r="N1388" s="3">
        <v>1.96</v>
      </c>
      <c r="O1388" s="3"/>
      <c r="P1388" s="3">
        <v>0</v>
      </c>
      <c r="Q1388" s="6">
        <f>+L1388-M1388-N1388+P1388</f>
        <v>36.29</v>
      </c>
      <c r="R1388" s="3"/>
      <c r="S1388" s="3">
        <v>31.99</v>
      </c>
      <c r="T1388" s="3">
        <v>3.68</v>
      </c>
      <c r="U1388" s="3"/>
      <c r="V1388" s="3"/>
      <c r="W1388" s="3"/>
      <c r="X1388" s="2">
        <f>+S1388+T1388-W1388</f>
        <v>35.67</v>
      </c>
      <c r="Y1388" s="6">
        <f>+Q1388-X1388</f>
        <v>0.61999999999999744</v>
      </c>
      <c r="Z1388" s="2"/>
      <c r="AA1388" s="2"/>
      <c r="AB1388" s="2"/>
      <c r="AC1388" s="3"/>
      <c r="AD1388" s="2"/>
      <c r="AE1388" s="2"/>
      <c r="AF1388" s="2"/>
      <c r="AG1388" s="2" t="s">
        <v>642</v>
      </c>
      <c r="AH1388" s="2" t="s">
        <v>641</v>
      </c>
      <c r="AI1388" s="2" t="s">
        <v>640</v>
      </c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</row>
    <row r="1389" spans="2:58">
      <c r="B1389" s="2"/>
      <c r="E1389" s="2"/>
      <c r="F1389" s="2"/>
      <c r="G1389" s="2"/>
      <c r="H1389" s="2"/>
      <c r="I1389" s="2"/>
      <c r="J1389" s="2"/>
      <c r="K1389" s="2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 t="s">
        <v>619</v>
      </c>
      <c r="X1389" s="3"/>
      <c r="Y1389" s="3"/>
      <c r="Z1389" s="2"/>
      <c r="AA1389" s="2"/>
      <c r="AB1389" s="2"/>
      <c r="AC1389" s="3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</row>
    <row r="1390" spans="2:58">
      <c r="B1390" s="2">
        <v>3</v>
      </c>
      <c r="C1390" s="1">
        <v>43703</v>
      </c>
      <c r="E1390" s="2" t="s">
        <v>178</v>
      </c>
      <c r="F1390" s="2"/>
      <c r="G1390" s="2" t="s">
        <v>638</v>
      </c>
      <c r="H1390" s="2" t="s">
        <v>639</v>
      </c>
      <c r="I1390" s="2"/>
      <c r="J1390" s="2">
        <v>1</v>
      </c>
      <c r="K1390" s="2"/>
      <c r="L1390" s="3">
        <v>25.6</v>
      </c>
      <c r="M1390" s="3">
        <v>2.56</v>
      </c>
      <c r="N1390" s="3">
        <v>1.37</v>
      </c>
      <c r="O1390" s="3"/>
      <c r="P1390" s="3">
        <v>1.79</v>
      </c>
      <c r="Q1390" s="6">
        <f>+L1390-M1390-N1390+P1390</f>
        <v>23.46</v>
      </c>
      <c r="R1390" s="3"/>
      <c r="S1390" s="3">
        <v>14.98</v>
      </c>
      <c r="T1390" s="3"/>
      <c r="U1390" s="3"/>
      <c r="V1390" s="3"/>
      <c r="W1390" s="3"/>
      <c r="X1390" s="2">
        <f>+S1390+T1390-W1390</f>
        <v>14.98</v>
      </c>
      <c r="Y1390" s="6">
        <f>+Q1390-X1390</f>
        <v>8.48</v>
      </c>
      <c r="Z1390" s="2"/>
      <c r="AA1390" s="2"/>
      <c r="AB1390" s="2"/>
      <c r="AC1390" s="3"/>
      <c r="AD1390" s="2"/>
      <c r="AE1390" s="2"/>
      <c r="AF1390" s="2"/>
      <c r="AG1390" s="2" t="s">
        <v>637</v>
      </c>
      <c r="AH1390" s="2" t="s">
        <v>636</v>
      </c>
      <c r="AI1390" s="2" t="s">
        <v>635</v>
      </c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</row>
    <row r="1391" spans="2:58">
      <c r="B1391" s="2"/>
      <c r="C1391" s="1">
        <v>43703</v>
      </c>
      <c r="E1391" s="2" t="s">
        <v>393</v>
      </c>
      <c r="F1391" s="2"/>
      <c r="G1391" s="2" t="s">
        <v>633</v>
      </c>
      <c r="H1391" s="2" t="s">
        <v>634</v>
      </c>
      <c r="I1391" s="2"/>
      <c r="J1391" s="2">
        <v>1</v>
      </c>
      <c r="K1391" s="2"/>
      <c r="L1391" s="3">
        <v>60.7</v>
      </c>
      <c r="M1391" s="3">
        <v>6.07</v>
      </c>
      <c r="N1391" s="3">
        <v>2.83</v>
      </c>
      <c r="O1391" s="3"/>
      <c r="P1391" s="3">
        <v>4.25</v>
      </c>
      <c r="Q1391" s="6">
        <f>+L1391-M1391-N1391+P1391</f>
        <v>56.050000000000004</v>
      </c>
      <c r="R1391" s="3"/>
      <c r="S1391" s="3">
        <v>47.95</v>
      </c>
      <c r="T1391" s="3"/>
      <c r="U1391" s="3"/>
      <c r="V1391" s="3"/>
      <c r="W1391" s="3"/>
      <c r="X1391" s="2">
        <f>+S1391+T1391-W1391</f>
        <v>47.95</v>
      </c>
      <c r="Y1391" s="6">
        <f>+Q1391-X1391</f>
        <v>8.1000000000000014</v>
      </c>
      <c r="Z1391" s="2" t="s">
        <v>619</v>
      </c>
      <c r="AA1391" s="2"/>
      <c r="AB1391" s="2"/>
      <c r="AC1391" s="3"/>
      <c r="AD1391" s="2"/>
      <c r="AE1391" s="2"/>
      <c r="AF1391" s="2"/>
      <c r="AG1391" s="2" t="s">
        <v>632</v>
      </c>
      <c r="AH1391" s="2" t="s">
        <v>631</v>
      </c>
      <c r="AI1391" s="2" t="s">
        <v>630</v>
      </c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</row>
    <row r="1392" spans="2:58">
      <c r="B1392" s="2"/>
      <c r="C1392" s="1">
        <v>43703</v>
      </c>
      <c r="E1392" s="2" t="s">
        <v>178</v>
      </c>
      <c r="F1392" s="2"/>
      <c r="G1392" s="2" t="s">
        <v>628</v>
      </c>
      <c r="H1392" s="2" t="s">
        <v>629</v>
      </c>
      <c r="I1392" s="2"/>
      <c r="J1392" s="2">
        <v>1</v>
      </c>
      <c r="K1392" s="2"/>
      <c r="L1392" s="3">
        <v>25.6</v>
      </c>
      <c r="M1392" s="3">
        <v>2.56</v>
      </c>
      <c r="N1392" s="3">
        <v>1.3</v>
      </c>
      <c r="O1392" s="3"/>
      <c r="P1392" s="3"/>
      <c r="Q1392" s="6">
        <f>+L1392-M1392-N1392+P1392</f>
        <v>21.740000000000002</v>
      </c>
      <c r="R1392" s="3"/>
      <c r="S1392" s="3">
        <v>14.98</v>
      </c>
      <c r="T1392" s="3"/>
      <c r="U1392" s="3"/>
      <c r="V1392" s="3"/>
      <c r="W1392" s="3"/>
      <c r="X1392" s="2">
        <f>+S1392+T1392-W1392</f>
        <v>14.98</v>
      </c>
      <c r="Y1392" s="6">
        <f>+Q1392-X1392</f>
        <v>6.7600000000000016</v>
      </c>
      <c r="Z1392" s="2"/>
      <c r="AA1392" s="2"/>
      <c r="AB1392" s="2"/>
      <c r="AC1392" s="3"/>
      <c r="AD1392" s="2"/>
      <c r="AE1392" s="2"/>
      <c r="AF1392" s="2"/>
      <c r="AG1392" s="2" t="s">
        <v>627</v>
      </c>
      <c r="AH1392" s="2" t="s">
        <v>626</v>
      </c>
      <c r="AI1392" s="2" t="s">
        <v>625</v>
      </c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</row>
    <row r="1393" spans="2:58">
      <c r="B1393" s="2"/>
      <c r="E1393" s="2"/>
      <c r="F1393" s="2"/>
      <c r="G1393" s="2"/>
      <c r="H1393" s="2"/>
      <c r="I1393" s="2"/>
      <c r="J1393" s="2"/>
      <c r="K1393" s="2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 t="s">
        <v>619</v>
      </c>
      <c r="Y1393" s="3"/>
      <c r="Z1393" s="2"/>
      <c r="AA1393" s="2"/>
      <c r="AB1393" s="2"/>
      <c r="AC1393" s="3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</row>
    <row r="1394" spans="2:58">
      <c r="B1394" s="2">
        <v>1</v>
      </c>
      <c r="C1394" s="1">
        <v>43702</v>
      </c>
      <c r="E1394" s="2" t="s">
        <v>178</v>
      </c>
      <c r="F1394" s="2"/>
      <c r="G1394" s="2" t="s">
        <v>623</v>
      </c>
      <c r="H1394" s="2" t="s">
        <v>624</v>
      </c>
      <c r="I1394" s="2"/>
      <c r="J1394" s="2">
        <v>1</v>
      </c>
      <c r="K1394" s="2"/>
      <c r="L1394" s="3">
        <v>25.6</v>
      </c>
      <c r="M1394" s="3">
        <v>2.56</v>
      </c>
      <c r="N1394" s="3">
        <v>1.3</v>
      </c>
      <c r="O1394" s="3"/>
      <c r="P1394" s="3"/>
      <c r="Q1394" s="6">
        <f>+L1394-M1394-N1394+P1394</f>
        <v>21.740000000000002</v>
      </c>
      <c r="R1394" s="3"/>
      <c r="S1394" s="3">
        <v>14.98</v>
      </c>
      <c r="T1394" s="3">
        <v>1.1000000000000001</v>
      </c>
      <c r="U1394" s="3"/>
      <c r="V1394" s="3"/>
      <c r="W1394" s="3">
        <v>-1.02</v>
      </c>
      <c r="X1394" s="2">
        <f>+S1394+T1394-W1394</f>
        <v>17.100000000000001</v>
      </c>
      <c r="Y1394" s="6">
        <f>+Q1394-X1394</f>
        <v>4.6400000000000006</v>
      </c>
      <c r="Z1394" s="2"/>
      <c r="AA1394" s="2"/>
      <c r="AB1394" s="2"/>
      <c r="AC1394" s="3"/>
      <c r="AD1394" s="2"/>
      <c r="AE1394" s="2"/>
      <c r="AF1394" s="2"/>
      <c r="AG1394" s="2" t="s">
        <v>622</v>
      </c>
      <c r="AH1394" s="2" t="s">
        <v>621</v>
      </c>
      <c r="AI1394" s="2" t="s">
        <v>620</v>
      </c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</row>
    <row r="1395" spans="2:58">
      <c r="B1395" s="2"/>
      <c r="E1395" s="2"/>
      <c r="F1395" s="2"/>
      <c r="G1395" s="2"/>
      <c r="H1395" s="2"/>
      <c r="I1395" s="2"/>
      <c r="J1395" s="2"/>
      <c r="K1395" s="2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2"/>
      <c r="AA1395" s="2"/>
      <c r="AB1395" s="2"/>
      <c r="AC1395" s="3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</row>
    <row r="1396" spans="2:58">
      <c r="B1396" s="2">
        <v>1</v>
      </c>
      <c r="C1396" s="1">
        <v>43701</v>
      </c>
      <c r="E1396" s="2" t="s">
        <v>393</v>
      </c>
      <c r="F1396" s="2"/>
      <c r="G1396" s="2" t="s">
        <v>617</v>
      </c>
      <c r="H1396" s="2" t="s">
        <v>618</v>
      </c>
      <c r="I1396" s="2"/>
      <c r="J1396" s="2">
        <v>1</v>
      </c>
      <c r="K1396" s="2"/>
      <c r="L1396" s="3">
        <v>60.7</v>
      </c>
      <c r="M1396" s="3">
        <v>6.07</v>
      </c>
      <c r="N1396" s="3">
        <v>2.67</v>
      </c>
      <c r="O1396" s="3"/>
      <c r="P1396" s="3">
        <v>0</v>
      </c>
      <c r="Q1396" s="6">
        <f>+L1396-M1396-N1396+P1396</f>
        <v>51.96</v>
      </c>
      <c r="R1396" s="3"/>
      <c r="S1396" s="3">
        <v>47.95</v>
      </c>
      <c r="T1396" s="3">
        <v>3.84</v>
      </c>
      <c r="U1396" s="3"/>
      <c r="V1396" s="3"/>
      <c r="W1396" s="3">
        <v>-1.52</v>
      </c>
      <c r="X1396" s="2">
        <f>+S1396+T1396-W1396</f>
        <v>53.310000000000009</v>
      </c>
      <c r="Y1396" s="6">
        <f>+Q1396-X1396</f>
        <v>-1.3500000000000085</v>
      </c>
      <c r="Z1396" s="2"/>
      <c r="AA1396" s="2"/>
      <c r="AB1396" s="2"/>
      <c r="AC1396" s="3"/>
      <c r="AD1396" s="2"/>
      <c r="AE1396" s="2"/>
      <c r="AF1396" s="2"/>
      <c r="AG1396" s="2" t="s">
        <v>615</v>
      </c>
      <c r="AH1396" s="2" t="s">
        <v>614</v>
      </c>
      <c r="AI1396" s="2" t="s">
        <v>613</v>
      </c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</row>
    <row r="1397" spans="2:58">
      <c r="B1397" s="2"/>
      <c r="E1397" s="2"/>
      <c r="F1397" s="2"/>
      <c r="G1397" s="2"/>
      <c r="H1397" s="2"/>
      <c r="I1397" s="2"/>
      <c r="J1397" s="2"/>
      <c r="K1397" s="2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2"/>
      <c r="AA1397" s="2"/>
      <c r="AB1397" s="2"/>
      <c r="AC1397" s="3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</row>
    <row r="1398" spans="2:58">
      <c r="B1398" s="2">
        <v>0</v>
      </c>
      <c r="C1398" s="1">
        <v>43700</v>
      </c>
      <c r="E1398" s="2" t="s">
        <v>616</v>
      </c>
      <c r="F1398" s="2"/>
      <c r="G1398" s="2"/>
      <c r="H1398" s="2"/>
      <c r="I1398" s="2"/>
      <c r="J1398" s="2"/>
      <c r="K1398" s="2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2"/>
      <c r="AA1398" s="2" t="s">
        <v>619</v>
      </c>
      <c r="AB1398" s="2"/>
      <c r="AC1398" s="3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</row>
    <row r="1399" spans="2:58">
      <c r="B1399" s="2"/>
      <c r="E1399" s="2"/>
      <c r="F1399" s="2"/>
      <c r="G1399" s="2"/>
      <c r="H1399" s="2"/>
      <c r="I1399" s="2"/>
      <c r="J1399" s="2"/>
      <c r="K1399" s="2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 t="s">
        <v>602</v>
      </c>
      <c r="Y1399" s="3"/>
      <c r="Z1399" s="2"/>
      <c r="AA1399" s="2"/>
      <c r="AB1399" s="2"/>
      <c r="AC1399" s="3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</row>
    <row r="1400" spans="2:58">
      <c r="B1400" s="2">
        <v>1</v>
      </c>
      <c r="C1400" s="1">
        <v>43699</v>
      </c>
      <c r="E1400" s="2" t="s">
        <v>393</v>
      </c>
      <c r="F1400" s="2"/>
      <c r="G1400" s="2" t="s">
        <v>611</v>
      </c>
      <c r="H1400" s="2" t="s">
        <v>612</v>
      </c>
      <c r="I1400" s="2"/>
      <c r="J1400" s="2">
        <v>1</v>
      </c>
      <c r="K1400" s="2"/>
      <c r="L1400" s="3">
        <v>60.7</v>
      </c>
      <c r="M1400" s="3">
        <v>6.07</v>
      </c>
      <c r="N1400" s="3">
        <v>2.67</v>
      </c>
      <c r="O1400" s="3"/>
      <c r="P1400" s="3">
        <v>0</v>
      </c>
      <c r="Q1400" s="6">
        <f>+L1400-M1400-N1400+P1400</f>
        <v>51.96</v>
      </c>
      <c r="R1400" s="3"/>
      <c r="S1400" s="3">
        <v>47.5</v>
      </c>
      <c r="T1400" s="3"/>
      <c r="U1400" s="3"/>
      <c r="V1400" s="3"/>
      <c r="W1400" s="3">
        <v>-1.52</v>
      </c>
      <c r="X1400" s="2">
        <f>+S1400+T1400-W1400</f>
        <v>49.02</v>
      </c>
      <c r="Y1400" s="6">
        <f>+Q1400-X1400</f>
        <v>2.9399999999999977</v>
      </c>
      <c r="Z1400" s="2"/>
      <c r="AA1400" s="2"/>
      <c r="AB1400" s="2"/>
      <c r="AC1400" s="3"/>
      <c r="AD1400" s="2"/>
      <c r="AE1400" s="2"/>
      <c r="AF1400" s="2"/>
      <c r="AG1400" s="2" t="s">
        <v>610</v>
      </c>
      <c r="AH1400" s="2" t="s">
        <v>609</v>
      </c>
      <c r="AI1400" s="2" t="s">
        <v>608</v>
      </c>
      <c r="AJ1400" s="2"/>
      <c r="AK1400" s="2"/>
      <c r="AL1400" s="2"/>
      <c r="AM1400" s="2"/>
      <c r="AN1400" s="2"/>
      <c r="AO1400" s="2" t="s">
        <v>746</v>
      </c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</row>
    <row r="1401" spans="2:58">
      <c r="B1401" s="2"/>
      <c r="C1401" s="1" t="s">
        <v>602</v>
      </c>
      <c r="E1401" s="2"/>
      <c r="F1401" s="2"/>
      <c r="H1401" s="2"/>
      <c r="I1401" s="2"/>
      <c r="J1401" s="2"/>
      <c r="K1401" s="2"/>
      <c r="L1401" s="3"/>
      <c r="M1401" s="3"/>
      <c r="N1401" s="3"/>
      <c r="O1401" s="3"/>
      <c r="P1401" s="3"/>
      <c r="Q1401" s="3" t="s">
        <v>602</v>
      </c>
      <c r="R1401" s="3"/>
      <c r="S1401" s="3"/>
      <c r="T1401" s="3"/>
      <c r="U1401" s="3"/>
      <c r="V1401" s="3"/>
      <c r="W1401" s="3"/>
      <c r="X1401" s="3"/>
      <c r="Y1401" s="3"/>
      <c r="Z1401" s="2"/>
      <c r="AA1401" s="2"/>
      <c r="AB1401" s="2"/>
      <c r="AC1401" s="3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</row>
    <row r="1402" spans="2:58">
      <c r="B1402" s="2">
        <v>1</v>
      </c>
      <c r="C1402" s="1">
        <v>43698</v>
      </c>
      <c r="E1402" s="2" t="s">
        <v>61</v>
      </c>
      <c r="F1402" s="2"/>
      <c r="G1402" s="2" t="s">
        <v>607</v>
      </c>
      <c r="H1402" s="2" t="s">
        <v>606</v>
      </c>
      <c r="I1402" s="2"/>
      <c r="J1402" s="2">
        <v>1</v>
      </c>
      <c r="K1402" s="2"/>
      <c r="L1402" s="3">
        <v>35.799999999999997</v>
      </c>
      <c r="M1402" s="3">
        <v>3.58</v>
      </c>
      <c r="N1402" s="3">
        <v>1.82</v>
      </c>
      <c r="O1402" s="3"/>
      <c r="P1402" s="3">
        <v>3.22</v>
      </c>
      <c r="Q1402" s="6">
        <f>+L1402-M1402-N1402+P1402</f>
        <v>33.619999999999997</v>
      </c>
      <c r="R1402" s="3"/>
      <c r="S1402" s="3">
        <v>25.98</v>
      </c>
      <c r="T1402" s="3">
        <v>1.88</v>
      </c>
      <c r="U1402" s="3"/>
      <c r="V1402" s="3"/>
      <c r="W1402" s="3">
        <v>-1</v>
      </c>
      <c r="X1402" s="2">
        <f>+S1402+T1402-W1402</f>
        <v>28.86</v>
      </c>
      <c r="Y1402" s="6">
        <f>+Q1402-X1402</f>
        <v>4.759999999999998</v>
      </c>
      <c r="Z1402" s="2"/>
      <c r="AA1402" s="2"/>
      <c r="AB1402" s="2"/>
      <c r="AC1402" s="3"/>
      <c r="AD1402" s="2"/>
      <c r="AE1402" s="2"/>
      <c r="AF1402" s="2"/>
      <c r="AG1402" s="2" t="s">
        <v>605</v>
      </c>
      <c r="AH1402" s="2" t="s">
        <v>604</v>
      </c>
      <c r="AI1402" s="2" t="s">
        <v>603</v>
      </c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</row>
    <row r="1403" spans="2:58">
      <c r="B1403" s="2"/>
      <c r="E1403" s="2"/>
      <c r="F1403" s="2"/>
      <c r="G1403" s="2"/>
      <c r="H1403" s="2"/>
      <c r="I1403" s="2"/>
      <c r="J1403" s="2"/>
      <c r="K1403" s="2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 t="s">
        <v>602</v>
      </c>
      <c r="X1403" s="3"/>
      <c r="Y1403" s="3"/>
      <c r="Z1403" s="2"/>
      <c r="AA1403" s="2"/>
      <c r="AB1403" s="2"/>
      <c r="AC1403" s="3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</row>
    <row r="1404" spans="2:58">
      <c r="B1404" s="2">
        <v>2</v>
      </c>
      <c r="C1404" s="1">
        <v>43697</v>
      </c>
      <c r="E1404" s="2" t="s">
        <v>393</v>
      </c>
      <c r="F1404" s="2"/>
      <c r="G1404" s="2" t="s">
        <v>600</v>
      </c>
      <c r="H1404" s="2" t="s">
        <v>601</v>
      </c>
      <c r="I1404" s="2"/>
      <c r="J1404" s="2">
        <v>1</v>
      </c>
      <c r="K1404" s="2"/>
      <c r="L1404" s="3">
        <v>61.95</v>
      </c>
      <c r="M1404" s="3">
        <v>6.19</v>
      </c>
      <c r="N1404" s="3">
        <v>2.85</v>
      </c>
      <c r="O1404" s="3" t="s">
        <v>602</v>
      </c>
      <c r="P1404" s="3">
        <v>3.41</v>
      </c>
      <c r="Q1404" s="6">
        <f>+L1404-M1404-N1404+P1404</f>
        <v>56.320000000000007</v>
      </c>
      <c r="R1404" s="3"/>
      <c r="S1404" s="3">
        <v>44.5</v>
      </c>
      <c r="T1404" s="3"/>
      <c r="U1404" s="3"/>
      <c r="V1404" s="3"/>
      <c r="W1404" s="3"/>
      <c r="X1404" s="2">
        <f>+S1404+T1404-W1404</f>
        <v>44.5</v>
      </c>
      <c r="Y1404" s="6">
        <f>+Q1404-X1404</f>
        <v>11.820000000000007</v>
      </c>
      <c r="Z1404" s="2"/>
      <c r="AA1404" s="2"/>
      <c r="AB1404" s="2"/>
      <c r="AC1404" s="3"/>
      <c r="AD1404" s="2"/>
      <c r="AE1404" s="2"/>
      <c r="AF1404" s="2"/>
      <c r="AG1404" s="2" t="s">
        <v>599</v>
      </c>
      <c r="AH1404" s="2" t="s">
        <v>598</v>
      </c>
      <c r="AI1404" s="2" t="s">
        <v>597</v>
      </c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</row>
    <row r="1405" spans="2:58">
      <c r="B1405" s="2"/>
      <c r="C1405" s="1">
        <v>43697</v>
      </c>
      <c r="E1405" s="2" t="s">
        <v>61</v>
      </c>
      <c r="F1405" s="2"/>
      <c r="G1405" s="2" t="s">
        <v>592</v>
      </c>
      <c r="H1405" s="2" t="s">
        <v>593</v>
      </c>
      <c r="I1405" s="2"/>
      <c r="J1405" s="2">
        <v>1</v>
      </c>
      <c r="K1405" s="2"/>
      <c r="L1405" s="3">
        <v>35.799999999999997</v>
      </c>
      <c r="M1405" s="3">
        <v>3.58</v>
      </c>
      <c r="N1405" s="3">
        <v>1.7</v>
      </c>
      <c r="O1405" s="3"/>
      <c r="P1405" s="3"/>
      <c r="Q1405" s="6">
        <f>+L1405-M1405-N1405+P1405</f>
        <v>30.52</v>
      </c>
      <c r="R1405" s="3"/>
      <c r="S1405" s="3">
        <v>25.98</v>
      </c>
      <c r="T1405" s="3">
        <v>1.65</v>
      </c>
      <c r="U1405" s="3"/>
      <c r="V1405" s="3"/>
      <c r="W1405" s="3"/>
      <c r="X1405" s="2">
        <f>+S1405+T1405-W1405</f>
        <v>27.63</v>
      </c>
      <c r="Y1405" s="6">
        <f>+Q1405-X1405</f>
        <v>2.8900000000000006</v>
      </c>
      <c r="Z1405" s="2"/>
      <c r="AA1405" s="2"/>
      <c r="AB1405" s="2"/>
      <c r="AC1405" s="3"/>
      <c r="AD1405" s="2"/>
      <c r="AE1405" s="2"/>
      <c r="AF1405" s="2"/>
      <c r="AG1405" s="2" t="s">
        <v>446</v>
      </c>
      <c r="AH1405" s="2" t="s">
        <v>595</v>
      </c>
      <c r="AI1405" s="2" t="s">
        <v>594</v>
      </c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</row>
    <row r="1406" spans="2:58">
      <c r="B1406" s="2"/>
      <c r="E1406" s="2"/>
      <c r="F1406" s="2"/>
      <c r="G1406" s="2"/>
      <c r="H1406" s="2"/>
      <c r="I1406" s="2"/>
      <c r="J1406" s="2"/>
      <c r="K1406" s="2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2"/>
      <c r="AA1406" s="2"/>
      <c r="AB1406" s="2"/>
      <c r="AC1406" s="3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</row>
    <row r="1407" spans="2:58">
      <c r="B1407" s="2">
        <v>0</v>
      </c>
      <c r="C1407" s="1">
        <v>43696</v>
      </c>
      <c r="E1407" s="2" t="s">
        <v>596</v>
      </c>
      <c r="F1407" s="2"/>
      <c r="G1407" s="2"/>
      <c r="H1407" s="2"/>
      <c r="I1407" s="2"/>
      <c r="J1407" s="2"/>
      <c r="K1407" s="2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2"/>
      <c r="AA1407" s="2"/>
      <c r="AB1407" s="2"/>
      <c r="AC1407" s="3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</row>
    <row r="1408" spans="2:58">
      <c r="B1408" s="2"/>
      <c r="E1408" s="2"/>
      <c r="F1408" s="2"/>
      <c r="G1408" s="2"/>
      <c r="H1408" s="2"/>
      <c r="I1408" s="2"/>
      <c r="J1408" s="2"/>
      <c r="K1408" s="2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 t="s">
        <v>16</v>
      </c>
      <c r="Y1408" s="3"/>
      <c r="Z1408" s="2"/>
      <c r="AA1408" s="2"/>
      <c r="AB1408" s="2"/>
      <c r="AC1408" s="3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</row>
    <row r="1409" spans="2:58">
      <c r="B1409" s="2">
        <v>2</v>
      </c>
      <c r="C1409" s="1">
        <v>43695</v>
      </c>
      <c r="E1409" s="2" t="s">
        <v>62</v>
      </c>
      <c r="F1409" s="2"/>
      <c r="G1409" s="2" t="s">
        <v>589</v>
      </c>
      <c r="H1409" s="2" t="s">
        <v>590</v>
      </c>
      <c r="I1409" s="2"/>
      <c r="J1409" s="2">
        <v>1</v>
      </c>
      <c r="K1409" s="2"/>
      <c r="L1409" s="3">
        <v>53.5</v>
      </c>
      <c r="M1409" s="3">
        <v>5.35</v>
      </c>
      <c r="N1409" s="3">
        <v>2.39</v>
      </c>
      <c r="O1409" s="3"/>
      <c r="P1409" s="3"/>
      <c r="Q1409" s="6">
        <f>+L1409-M1409-N1409+P1409</f>
        <v>45.76</v>
      </c>
      <c r="R1409" s="3"/>
      <c r="S1409" s="3">
        <v>39.99</v>
      </c>
      <c r="T1409" s="3">
        <v>2.8</v>
      </c>
      <c r="U1409" s="3"/>
      <c r="V1409" s="3"/>
      <c r="W1409" s="3"/>
      <c r="X1409" s="2">
        <f>+S1409+T1409-W1409</f>
        <v>42.79</v>
      </c>
      <c r="Y1409" s="6">
        <f>+Q1409-X1409</f>
        <v>2.9699999999999989</v>
      </c>
      <c r="Z1409" s="2"/>
      <c r="AA1409" s="2"/>
      <c r="AB1409" s="2"/>
      <c r="AC1409" s="3"/>
      <c r="AD1409" s="2"/>
      <c r="AE1409" s="2"/>
      <c r="AF1409" s="2"/>
      <c r="AG1409" s="2" t="s">
        <v>138</v>
      </c>
      <c r="AH1409" s="2" t="s">
        <v>588</v>
      </c>
      <c r="AI1409" s="2" t="s">
        <v>587</v>
      </c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</row>
    <row r="1410" spans="2:58">
      <c r="B1410" s="2"/>
      <c r="C1410" s="1">
        <v>43695</v>
      </c>
      <c r="E1410" s="2" t="s">
        <v>543</v>
      </c>
      <c r="F1410" s="2"/>
      <c r="G1410" s="2" t="s">
        <v>585</v>
      </c>
      <c r="H1410" s="2" t="s">
        <v>586</v>
      </c>
      <c r="I1410" s="2"/>
      <c r="J1410" s="2">
        <v>1</v>
      </c>
      <c r="K1410" s="2"/>
      <c r="L1410" s="3">
        <v>17.95</v>
      </c>
      <c r="M1410" s="3">
        <v>1.79</v>
      </c>
      <c r="N1410" s="3">
        <v>1</v>
      </c>
      <c r="O1410" s="3"/>
      <c r="P1410" s="3"/>
      <c r="Q1410" s="6">
        <f>+L1410-M1410-N1410+P1410</f>
        <v>15.16</v>
      </c>
      <c r="R1410" s="3"/>
      <c r="S1410" s="3">
        <v>11.26</v>
      </c>
      <c r="T1410" s="3">
        <v>0.68</v>
      </c>
      <c r="U1410" s="3"/>
      <c r="V1410" s="3"/>
      <c r="W1410" s="3"/>
      <c r="X1410" s="2">
        <f>+S1410+T1410-W1410</f>
        <v>11.94</v>
      </c>
      <c r="Y1410" s="6">
        <f>+Q1410-X1410</f>
        <v>3.2200000000000006</v>
      </c>
      <c r="Z1410" s="2"/>
      <c r="AA1410" s="2"/>
      <c r="AB1410" s="2"/>
      <c r="AC1410" s="3"/>
      <c r="AD1410" s="2"/>
      <c r="AE1410" s="2"/>
      <c r="AF1410" s="2"/>
      <c r="AG1410" s="2" t="s">
        <v>92</v>
      </c>
      <c r="AH1410" s="2" t="s">
        <v>584</v>
      </c>
      <c r="AI1410" s="2" t="s">
        <v>583</v>
      </c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</row>
    <row r="1411" spans="2:58">
      <c r="B1411" s="2"/>
      <c r="C1411" s="1" t="s">
        <v>16</v>
      </c>
      <c r="E1411" s="2"/>
      <c r="F1411" s="2"/>
      <c r="G1411" s="2"/>
      <c r="H1411" s="2"/>
      <c r="I1411" s="2"/>
      <c r="J1411" s="2"/>
      <c r="K1411" s="2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2"/>
      <c r="AA1411" s="2"/>
      <c r="AB1411" s="2"/>
      <c r="AC1411" s="3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</row>
    <row r="1412" spans="2:58">
      <c r="B1412" s="2">
        <v>1</v>
      </c>
      <c r="C1412" s="1">
        <v>43694</v>
      </c>
      <c r="E1412" s="2" t="s">
        <v>393</v>
      </c>
      <c r="F1412" s="2"/>
      <c r="G1412" s="2" t="s">
        <v>581</v>
      </c>
      <c r="H1412" s="2" t="s">
        <v>582</v>
      </c>
      <c r="I1412" s="2"/>
      <c r="J1412" s="2">
        <v>1</v>
      </c>
      <c r="K1412" s="2"/>
      <c r="L1412" s="3">
        <v>61.95</v>
      </c>
      <c r="M1412" s="3">
        <v>6.19</v>
      </c>
      <c r="N1412" s="3">
        <v>2.72</v>
      </c>
      <c r="O1412" s="3"/>
      <c r="P1412" s="3"/>
      <c r="Q1412" s="6">
        <f>+L1412-M1412-N1412+P1412</f>
        <v>53.040000000000006</v>
      </c>
      <c r="R1412" s="3"/>
      <c r="S1412" s="3">
        <v>47.95</v>
      </c>
      <c r="T1412" s="3"/>
      <c r="U1412" s="3"/>
      <c r="V1412" s="3"/>
      <c r="W1412" s="3"/>
      <c r="X1412" s="2">
        <f>+S1412+T1412-W1412</f>
        <v>47.95</v>
      </c>
      <c r="Y1412" s="6">
        <f>+Q1412-X1412</f>
        <v>5.0900000000000034</v>
      </c>
      <c r="Z1412" s="2"/>
      <c r="AA1412" s="2"/>
      <c r="AB1412" s="2"/>
      <c r="AC1412" s="3"/>
      <c r="AD1412" s="2"/>
      <c r="AE1412" s="2"/>
      <c r="AF1412" s="2"/>
      <c r="AG1412" s="2" t="s">
        <v>92</v>
      </c>
      <c r="AH1412" s="2" t="s">
        <v>580</v>
      </c>
      <c r="AI1412" s="2" t="s">
        <v>579</v>
      </c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</row>
    <row r="1413" spans="2:58">
      <c r="E1413" s="2" t="s">
        <v>1738</v>
      </c>
      <c r="F1413" s="2"/>
      <c r="H1413" s="2"/>
      <c r="I1413" s="2"/>
      <c r="J1413" s="2"/>
      <c r="K1413" s="2"/>
      <c r="L1413" s="3"/>
      <c r="M1413" s="3"/>
      <c r="N1413" s="3"/>
      <c r="O1413" s="3"/>
      <c r="P1413" s="3"/>
      <c r="Q1413" s="3"/>
      <c r="R1413" s="3"/>
      <c r="S1413" s="3" t="s">
        <v>16</v>
      </c>
      <c r="T1413" s="3"/>
      <c r="U1413" s="3"/>
      <c r="V1413" s="3"/>
      <c r="W1413" s="3"/>
      <c r="X1413" s="3"/>
      <c r="Y1413" s="3"/>
      <c r="Z1413" s="2"/>
      <c r="AA1413" s="2"/>
      <c r="AB1413" s="2"/>
      <c r="AC1413" s="3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</row>
    <row r="1414" spans="2:58">
      <c r="B1414" s="2">
        <v>5</v>
      </c>
      <c r="C1414" s="1">
        <v>43693</v>
      </c>
      <c r="E1414" s="2" t="s">
        <v>393</v>
      </c>
      <c r="F1414" s="2"/>
      <c r="G1414" s="2" t="s">
        <v>558</v>
      </c>
      <c r="H1414" s="2" t="s">
        <v>559</v>
      </c>
      <c r="I1414" s="2"/>
      <c r="J1414" s="2">
        <v>1</v>
      </c>
      <c r="K1414" s="2"/>
      <c r="L1414" s="3">
        <v>61.8</v>
      </c>
      <c r="M1414" s="3">
        <v>6.18</v>
      </c>
      <c r="N1414" s="3">
        <v>2.71</v>
      </c>
      <c r="O1414" s="3"/>
      <c r="P1414" s="3"/>
      <c r="Q1414" s="6">
        <f>+L1414-M1414-N1414+P1414</f>
        <v>52.91</v>
      </c>
      <c r="R1414" s="3"/>
      <c r="S1414" s="3">
        <v>47.95</v>
      </c>
      <c r="T1414" s="3"/>
      <c r="U1414" s="3"/>
      <c r="V1414" s="3"/>
      <c r="W1414" s="3"/>
      <c r="X1414" s="2">
        <f>+S1414+T1414-W1414</f>
        <v>47.95</v>
      </c>
      <c r="Y1414" s="6">
        <f>+Q1414-X1414</f>
        <v>4.9599999999999937</v>
      </c>
      <c r="Z1414" s="2"/>
      <c r="AA1414" s="2"/>
      <c r="AB1414" s="2"/>
      <c r="AC1414" s="3"/>
      <c r="AD1414" s="2"/>
      <c r="AE1414" s="2"/>
      <c r="AF1414" s="2"/>
      <c r="AG1414" s="2" t="s">
        <v>446</v>
      </c>
      <c r="AH1414" s="2" t="s">
        <v>557</v>
      </c>
      <c r="AI1414" s="2" t="s">
        <v>556</v>
      </c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</row>
    <row r="1415" spans="2:58">
      <c r="B1415" s="2"/>
      <c r="C1415" s="1">
        <v>43693</v>
      </c>
      <c r="E1415" s="2" t="s">
        <v>531</v>
      </c>
      <c r="F1415" s="2"/>
      <c r="G1415" s="2" t="s">
        <v>560</v>
      </c>
      <c r="H1415" s="2" t="s">
        <v>561</v>
      </c>
      <c r="I1415" s="2"/>
      <c r="J1415" s="2">
        <v>1</v>
      </c>
      <c r="K1415" s="2"/>
      <c r="L1415" s="3">
        <v>11.9</v>
      </c>
      <c r="M1415" s="3">
        <v>1.19</v>
      </c>
      <c r="N1415" s="3">
        <v>0.8</v>
      </c>
      <c r="O1415" s="3"/>
      <c r="P1415" s="3">
        <v>0.98</v>
      </c>
      <c r="Q1415" s="6">
        <f>+L1415-M1415-N1415+P1415</f>
        <v>10.89</v>
      </c>
      <c r="R1415" s="3"/>
      <c r="S1415" s="3">
        <v>8.39</v>
      </c>
      <c r="T1415" s="3"/>
      <c r="U1415" s="3"/>
      <c r="V1415" s="3"/>
      <c r="W1415" s="3"/>
      <c r="X1415" s="2">
        <f>+S1415+T1415-W1415</f>
        <v>8.39</v>
      </c>
      <c r="Y1415" s="6">
        <f>+Q1415-X1415</f>
        <v>2.5</v>
      </c>
      <c r="Z1415" s="2"/>
      <c r="AA1415" s="2"/>
      <c r="AB1415" s="2"/>
      <c r="AC1415" s="3"/>
      <c r="AD1415" s="2"/>
      <c r="AE1415" s="2"/>
      <c r="AF1415" s="2"/>
      <c r="AG1415" s="2" t="s">
        <v>112</v>
      </c>
      <c r="AH1415" s="2" t="s">
        <v>563</v>
      </c>
      <c r="AI1415" s="2" t="s">
        <v>562</v>
      </c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</row>
    <row r="1416" spans="2:58">
      <c r="B1416" s="2"/>
      <c r="C1416" s="1">
        <v>43693</v>
      </c>
      <c r="E1416" s="2" t="s">
        <v>178</v>
      </c>
      <c r="F1416" s="2"/>
      <c r="G1416" s="2" t="s">
        <v>768</v>
      </c>
      <c r="H1416" s="2" t="s">
        <v>564</v>
      </c>
      <c r="I1416" s="2"/>
      <c r="J1416" s="2">
        <v>2</v>
      </c>
      <c r="K1416" s="2"/>
      <c r="L1416" s="3">
        <v>51</v>
      </c>
      <c r="M1416" s="3">
        <v>5.0999999999999996</v>
      </c>
      <c r="N1416" s="3">
        <v>2.4300000000000002</v>
      </c>
      <c r="O1416" s="3"/>
      <c r="P1416" s="3">
        <v>3.7</v>
      </c>
      <c r="Q1416" s="6">
        <f>+L1416-M1416-N1416+P1416</f>
        <v>47.17</v>
      </c>
      <c r="R1416" s="3"/>
      <c r="S1416" s="3">
        <v>29.96</v>
      </c>
      <c r="T1416" s="3">
        <v>2.09</v>
      </c>
      <c r="U1416" s="3"/>
      <c r="V1416" s="3"/>
      <c r="W1416" s="3">
        <v>-1.02</v>
      </c>
      <c r="X1416" s="2">
        <f>+S1416+T1416-W1416</f>
        <v>33.07</v>
      </c>
      <c r="Y1416" s="6">
        <f>+Q1416-X1416</f>
        <v>14.100000000000001</v>
      </c>
      <c r="Z1416" s="2"/>
      <c r="AA1416" s="2"/>
      <c r="AB1416" s="2"/>
      <c r="AC1416" s="3"/>
      <c r="AD1416" s="2"/>
      <c r="AE1416" s="2"/>
      <c r="AF1416" s="2"/>
      <c r="AG1416" s="2" t="s">
        <v>358</v>
      </c>
      <c r="AH1416" s="2" t="s">
        <v>566</v>
      </c>
      <c r="AI1416" s="2" t="s">
        <v>565</v>
      </c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</row>
    <row r="1417" spans="2:58">
      <c r="B1417" s="2"/>
      <c r="C1417" s="1">
        <v>43693</v>
      </c>
      <c r="E1417" s="2" t="s">
        <v>393</v>
      </c>
      <c r="F1417" s="2"/>
      <c r="G1417" s="2" t="s">
        <v>567</v>
      </c>
      <c r="H1417" s="2" t="s">
        <v>568</v>
      </c>
      <c r="I1417" s="2"/>
      <c r="J1417" s="2">
        <v>1</v>
      </c>
      <c r="K1417" s="2"/>
      <c r="L1417" s="3">
        <v>61.8</v>
      </c>
      <c r="M1417" s="3">
        <v>6.18</v>
      </c>
      <c r="N1417" s="3">
        <v>2.71</v>
      </c>
      <c r="O1417" s="3"/>
      <c r="P1417" s="3"/>
      <c r="Q1417" s="6">
        <f>+L1417-M1417-N1417+P1417</f>
        <v>52.91</v>
      </c>
      <c r="R1417" s="3"/>
      <c r="S1417" s="3">
        <v>47.95</v>
      </c>
      <c r="T1417" s="3"/>
      <c r="U1417" s="3"/>
      <c r="V1417" s="3"/>
      <c r="W1417" s="3"/>
      <c r="X1417" s="2">
        <f>+S1417+T1417-W1417</f>
        <v>47.95</v>
      </c>
      <c r="Y1417" s="6">
        <f>+Q1417-X1417</f>
        <v>4.9599999999999937</v>
      </c>
      <c r="Z1417" s="2"/>
      <c r="AA1417" s="2"/>
      <c r="AB1417" s="2"/>
      <c r="AC1417" s="3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</row>
    <row r="1418" spans="2:58">
      <c r="B1418" s="2"/>
      <c r="C1418" s="1">
        <v>43693</v>
      </c>
      <c r="E1418" s="2" t="s">
        <v>393</v>
      </c>
      <c r="F1418" s="2"/>
      <c r="G1418" s="2" t="s">
        <v>552</v>
      </c>
      <c r="H1418" s="2" t="s">
        <v>553</v>
      </c>
      <c r="I1418" s="2"/>
      <c r="J1418" s="2">
        <v>1</v>
      </c>
      <c r="K1418" s="2"/>
      <c r="L1418" s="3">
        <v>61.8</v>
      </c>
      <c r="M1418" s="3">
        <v>6.18</v>
      </c>
      <c r="N1418" s="3">
        <v>2.71</v>
      </c>
      <c r="O1418" s="3"/>
      <c r="P1418" s="3"/>
      <c r="Q1418" s="6">
        <f>+L1418-M1418-N1418+P1418</f>
        <v>52.91</v>
      </c>
      <c r="R1418" s="3"/>
      <c r="S1418" s="3">
        <v>47.95</v>
      </c>
      <c r="T1418" s="3"/>
      <c r="U1418" s="3"/>
      <c r="V1418" s="3"/>
      <c r="W1418" s="3"/>
      <c r="X1418" s="2">
        <f>+S1418+T1418-W1418</f>
        <v>47.95</v>
      </c>
      <c r="Y1418" s="6">
        <f>+Q1418-X1418</f>
        <v>4.9599999999999937</v>
      </c>
      <c r="Z1418" s="2"/>
      <c r="AA1418" s="2"/>
      <c r="AB1418" s="2"/>
      <c r="AC1418" s="3"/>
      <c r="AD1418" s="2"/>
      <c r="AE1418" s="2"/>
      <c r="AF1418" s="2"/>
      <c r="AG1418" s="2" t="s">
        <v>70</v>
      </c>
      <c r="AH1418" s="2" t="s">
        <v>555</v>
      </c>
      <c r="AI1418" s="2" t="s">
        <v>554</v>
      </c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</row>
    <row r="1419" spans="2:58">
      <c r="B1419" s="2"/>
      <c r="E1419" s="2"/>
      <c r="F1419" s="2"/>
      <c r="G1419" s="2"/>
      <c r="H1419" s="2"/>
      <c r="I1419" s="2"/>
      <c r="J1419" s="2"/>
      <c r="K1419" s="2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2"/>
      <c r="AA1419" s="2"/>
      <c r="AB1419" s="2"/>
      <c r="AC1419" s="3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</row>
    <row r="1420" spans="2:58">
      <c r="B1420" s="2">
        <v>0</v>
      </c>
      <c r="C1420" s="1">
        <v>43692</v>
      </c>
      <c r="E1420" s="2" t="s">
        <v>596</v>
      </c>
      <c r="F1420" s="2"/>
      <c r="G1420" s="2"/>
      <c r="H1420" s="2"/>
      <c r="I1420" s="2"/>
      <c r="J1420" s="2"/>
      <c r="K1420" s="2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2"/>
      <c r="AA1420" s="2"/>
      <c r="AB1420" s="2"/>
      <c r="AC1420" s="3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</row>
    <row r="1421" spans="2:58">
      <c r="B1421" s="2"/>
      <c r="E1421" s="2"/>
      <c r="F1421" s="2"/>
      <c r="G1421" s="2"/>
      <c r="H1421" s="2"/>
      <c r="I1421" s="2"/>
      <c r="J1421" s="2"/>
      <c r="K1421" s="2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2"/>
      <c r="AA1421" s="2"/>
      <c r="AB1421" s="2"/>
      <c r="AC1421" s="3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</row>
    <row r="1422" spans="2:58">
      <c r="B1422" s="2">
        <v>2</v>
      </c>
      <c r="C1422" s="1">
        <v>43691</v>
      </c>
      <c r="E1422" s="2" t="s">
        <v>569</v>
      </c>
      <c r="F1422" s="2"/>
      <c r="G1422" s="2" t="s">
        <v>575</v>
      </c>
      <c r="H1422" s="2" t="s">
        <v>576</v>
      </c>
      <c r="I1422" s="2"/>
      <c r="J1422" s="2">
        <v>1</v>
      </c>
      <c r="K1422" s="2"/>
      <c r="L1422" s="3">
        <v>26</v>
      </c>
      <c r="M1422" s="3">
        <v>2.6</v>
      </c>
      <c r="N1422" s="3">
        <v>1.41</v>
      </c>
      <c r="O1422" s="3"/>
      <c r="P1422" s="3">
        <v>2.34</v>
      </c>
      <c r="Q1422" s="6">
        <f>+L1422-M1422-N1422+P1422</f>
        <v>24.33</v>
      </c>
      <c r="R1422" s="3"/>
      <c r="S1422" s="3">
        <v>17.989999999999998</v>
      </c>
      <c r="T1422" s="3"/>
      <c r="U1422" s="3"/>
      <c r="V1422" s="3"/>
      <c r="W1422" s="3"/>
      <c r="X1422" s="2">
        <f>+S1422+T1422-W1422</f>
        <v>17.989999999999998</v>
      </c>
      <c r="Y1422" s="6">
        <f>+Q1422-X1422</f>
        <v>6.34</v>
      </c>
      <c r="Z1422" s="2"/>
      <c r="AA1422" s="2"/>
      <c r="AB1422" s="2"/>
      <c r="AC1422" s="3"/>
      <c r="AD1422" s="2"/>
      <c r="AE1422" s="2"/>
      <c r="AF1422" s="2"/>
      <c r="AG1422" s="2" t="s">
        <v>15</v>
      </c>
      <c r="AH1422" s="2" t="s">
        <v>574</v>
      </c>
      <c r="AI1422" s="2" t="s">
        <v>573</v>
      </c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</row>
    <row r="1423" spans="2:58">
      <c r="B1423" s="2"/>
      <c r="C1423" s="1">
        <v>43691</v>
      </c>
      <c r="E1423" s="2" t="s">
        <v>178</v>
      </c>
      <c r="F1423" s="2"/>
      <c r="G1423" s="2" t="s">
        <v>1444</v>
      </c>
      <c r="H1423" s="2" t="s">
        <v>570</v>
      </c>
      <c r="I1423" s="2"/>
      <c r="J1423" s="2">
        <v>1</v>
      </c>
      <c r="K1423" s="2"/>
      <c r="L1423" s="3">
        <v>25.5</v>
      </c>
      <c r="M1423" s="3">
        <v>2.5499999999999998</v>
      </c>
      <c r="N1423" s="3">
        <v>1.35</v>
      </c>
      <c r="O1423" s="3"/>
      <c r="P1423" s="3">
        <v>1.53</v>
      </c>
      <c r="Q1423" s="6">
        <f>+L1423-M1423-N1423+P1423</f>
        <v>23.13</v>
      </c>
      <c r="R1423" s="3"/>
      <c r="S1423" s="3">
        <v>14.98</v>
      </c>
      <c r="T1423" s="3">
        <v>0.9</v>
      </c>
      <c r="U1423" s="3"/>
      <c r="V1423" s="3"/>
      <c r="W1423" s="3">
        <v>-1.02</v>
      </c>
      <c r="X1423" s="2">
        <f>+S1423+T1423-W1423</f>
        <v>16.900000000000002</v>
      </c>
      <c r="Y1423" s="6">
        <f>+Q1423-X1423</f>
        <v>6.2299999999999969</v>
      </c>
      <c r="Z1423" s="2" t="s">
        <v>16</v>
      </c>
      <c r="AA1423" s="2"/>
      <c r="AB1423" s="2"/>
      <c r="AC1423" s="3"/>
      <c r="AD1423" s="2"/>
      <c r="AE1423" s="2"/>
      <c r="AF1423" s="2"/>
      <c r="AG1423" s="2" t="s">
        <v>180</v>
      </c>
      <c r="AH1423" s="2" t="s">
        <v>572</v>
      </c>
      <c r="AI1423" s="2" t="s">
        <v>571</v>
      </c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</row>
    <row r="1424" spans="2:58">
      <c r="B1424" s="2"/>
      <c r="E1424" s="2"/>
      <c r="F1424" s="2"/>
      <c r="G1424" s="2" t="s">
        <v>16</v>
      </c>
      <c r="H1424" s="2"/>
      <c r="I1424" s="2"/>
      <c r="J1424" s="2"/>
      <c r="K1424" s="2"/>
      <c r="L1424" s="3"/>
      <c r="M1424" s="3"/>
      <c r="N1424" s="3"/>
      <c r="O1424" s="3"/>
      <c r="P1424" s="3"/>
      <c r="Q1424" s="3" t="s">
        <v>16</v>
      </c>
      <c r="R1424" s="3"/>
      <c r="S1424" s="3"/>
      <c r="T1424" s="3"/>
      <c r="U1424" s="3"/>
      <c r="V1424" s="3"/>
      <c r="W1424" s="3"/>
      <c r="X1424" s="3"/>
      <c r="Y1424" s="3"/>
      <c r="Z1424" s="2"/>
      <c r="AA1424" s="2"/>
      <c r="AB1424" s="2"/>
      <c r="AC1424" s="3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</row>
    <row r="1425" spans="2:58">
      <c r="B1425" s="2">
        <v>3</v>
      </c>
      <c r="C1425" s="1">
        <v>43690</v>
      </c>
      <c r="E1425" s="2" t="s">
        <v>178</v>
      </c>
      <c r="F1425" s="2"/>
      <c r="G1425" s="2" t="s">
        <v>538</v>
      </c>
      <c r="H1425" s="2" t="s">
        <v>539</v>
      </c>
      <c r="I1425" s="2"/>
      <c r="J1425" s="2">
        <v>1</v>
      </c>
      <c r="K1425" s="2"/>
      <c r="L1425" s="3">
        <v>25.5</v>
      </c>
      <c r="M1425" s="3">
        <v>2.5499999999999998</v>
      </c>
      <c r="N1425" s="3">
        <v>1.4</v>
      </c>
      <c r="O1425" s="3"/>
      <c r="P1425" s="3">
        <v>1.35</v>
      </c>
      <c r="Q1425" s="6">
        <f>+L1425-M1425-N1425+P1425</f>
        <v>22.900000000000002</v>
      </c>
      <c r="R1425" s="3"/>
      <c r="S1425" s="3">
        <v>14.98</v>
      </c>
      <c r="T1425" s="3">
        <v>0.82</v>
      </c>
      <c r="U1425" s="3"/>
      <c r="V1425" s="3"/>
      <c r="W1425" s="3">
        <v>-1.02</v>
      </c>
      <c r="X1425" s="2">
        <f>+S1425+T1425-W1425</f>
        <v>16.82</v>
      </c>
      <c r="Y1425" s="6">
        <f>+Q1425-X1425</f>
        <v>6.0800000000000018</v>
      </c>
      <c r="Z1425" s="2"/>
      <c r="AA1425" s="2"/>
      <c r="AB1425" s="2"/>
      <c r="AC1425" s="3"/>
      <c r="AD1425" s="2"/>
      <c r="AE1425" s="2"/>
      <c r="AF1425" s="2"/>
      <c r="AG1425" s="2" t="s">
        <v>542</v>
      </c>
      <c r="AH1425" s="4" t="s">
        <v>541</v>
      </c>
      <c r="AI1425" s="2" t="s">
        <v>540</v>
      </c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</row>
    <row r="1426" spans="2:58">
      <c r="B1426" s="2"/>
      <c r="C1426" s="1">
        <v>43690</v>
      </c>
      <c r="E1426" s="2" t="s">
        <v>543</v>
      </c>
      <c r="F1426" s="2"/>
      <c r="G1426" s="2" t="s">
        <v>548</v>
      </c>
      <c r="H1426" s="2" t="s">
        <v>549</v>
      </c>
      <c r="I1426" s="2"/>
      <c r="J1426" s="2">
        <v>1</v>
      </c>
      <c r="K1426" s="2"/>
      <c r="L1426" s="3">
        <v>17.95</v>
      </c>
      <c r="M1426" s="3">
        <v>1.79</v>
      </c>
      <c r="N1426" s="3">
        <v>1.06</v>
      </c>
      <c r="O1426" s="3"/>
      <c r="P1426" s="3">
        <v>1.62</v>
      </c>
      <c r="Q1426" s="6">
        <f>+L1426-M1426-N1426+P1426</f>
        <v>16.72</v>
      </c>
      <c r="R1426" s="3"/>
      <c r="S1426" s="3">
        <v>11.26</v>
      </c>
      <c r="T1426" s="3">
        <v>0.99</v>
      </c>
      <c r="U1426" s="3"/>
      <c r="V1426" s="3"/>
      <c r="W1426" s="3"/>
      <c r="X1426" s="2">
        <f>+S1426+T1426-W1426</f>
        <v>12.25</v>
      </c>
      <c r="Y1426" s="6">
        <f>+Q1426-X1426</f>
        <v>4.4699999999999989</v>
      </c>
      <c r="Z1426" s="2"/>
      <c r="AA1426" s="2"/>
      <c r="AB1426" s="2"/>
      <c r="AC1426" s="3"/>
      <c r="AD1426" s="2"/>
      <c r="AE1426" s="2"/>
      <c r="AF1426" s="2"/>
      <c r="AG1426" s="2" t="s">
        <v>15</v>
      </c>
      <c r="AH1426" s="4" t="s">
        <v>551</v>
      </c>
      <c r="AI1426" s="2" t="s">
        <v>550</v>
      </c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</row>
    <row r="1427" spans="2:58">
      <c r="B1427" s="2"/>
      <c r="C1427" s="1">
        <v>43690</v>
      </c>
      <c r="E1427" s="2" t="s">
        <v>531</v>
      </c>
      <c r="F1427" s="2"/>
      <c r="G1427" s="2" t="s">
        <v>544</v>
      </c>
      <c r="H1427" s="2" t="s">
        <v>545</v>
      </c>
      <c r="I1427" s="2"/>
      <c r="J1427" s="2">
        <v>1</v>
      </c>
      <c r="K1427" s="2"/>
      <c r="L1427" s="3">
        <v>11.9</v>
      </c>
      <c r="M1427" s="3">
        <v>1.19</v>
      </c>
      <c r="N1427" s="3">
        <v>0.76</v>
      </c>
      <c r="O1427" s="3"/>
      <c r="P1427" s="3"/>
      <c r="Q1427" s="6">
        <f>+L1427-M1427-N1427+P1427</f>
        <v>9.9500000000000011</v>
      </c>
      <c r="R1427" s="3"/>
      <c r="S1427" s="3">
        <v>8.39</v>
      </c>
      <c r="T1427" s="3">
        <v>0.5</v>
      </c>
      <c r="U1427" s="3"/>
      <c r="V1427" s="3"/>
      <c r="W1427" s="3"/>
      <c r="X1427" s="2">
        <f>+S1427+T1427-W1427</f>
        <v>8.89</v>
      </c>
      <c r="Y1427" s="6">
        <f>+Q1427-X1427</f>
        <v>1.0600000000000005</v>
      </c>
      <c r="Z1427" s="2"/>
      <c r="AA1427" s="2"/>
      <c r="AB1427" s="2"/>
      <c r="AC1427" s="3"/>
      <c r="AD1427" s="2"/>
      <c r="AE1427" s="2"/>
      <c r="AF1427" s="2"/>
      <c r="AG1427" s="2" t="s">
        <v>100</v>
      </c>
      <c r="AH1427" s="2" t="s">
        <v>547</v>
      </c>
      <c r="AI1427" s="2" t="s">
        <v>546</v>
      </c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</row>
    <row r="1428" spans="2:58">
      <c r="B1428" s="2"/>
      <c r="E1428" s="2"/>
      <c r="F1428" s="2"/>
      <c r="G1428" s="2"/>
      <c r="H1428" s="2"/>
      <c r="I1428" s="2"/>
      <c r="J1428" s="2"/>
      <c r="K1428" s="2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2"/>
      <c r="AA1428" s="2"/>
      <c r="AB1428" s="2"/>
      <c r="AC1428" s="3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</row>
    <row r="1429" spans="2:58">
      <c r="B1429" s="2">
        <v>2</v>
      </c>
      <c r="C1429" s="1">
        <v>43689</v>
      </c>
      <c r="E1429" s="2" t="s">
        <v>178</v>
      </c>
      <c r="F1429" s="2"/>
      <c r="G1429" s="2" t="s">
        <v>534</v>
      </c>
      <c r="H1429" s="2" t="s">
        <v>535</v>
      </c>
      <c r="I1429" s="2"/>
      <c r="J1429" s="2">
        <v>1</v>
      </c>
      <c r="K1429" s="2"/>
      <c r="L1429" s="3">
        <v>25.5</v>
      </c>
      <c r="M1429" s="3">
        <v>2.5499999999999998</v>
      </c>
      <c r="N1429" s="3">
        <v>1.36</v>
      </c>
      <c r="O1429" s="3"/>
      <c r="P1429" s="3">
        <v>1.79</v>
      </c>
      <c r="Q1429" s="6">
        <f>+L1429-M1429-N1429+P1429</f>
        <v>23.38</v>
      </c>
      <c r="R1429" s="3"/>
      <c r="S1429" s="3">
        <v>14.98</v>
      </c>
      <c r="T1429" s="3">
        <v>1.05</v>
      </c>
      <c r="U1429" s="3"/>
      <c r="V1429" s="3"/>
      <c r="W1429" s="3"/>
      <c r="X1429" s="2">
        <f>+S1429+T1429-W1429</f>
        <v>16.03</v>
      </c>
      <c r="Y1429" s="6">
        <f>+Q1429-X1429</f>
        <v>7.3499999999999979</v>
      </c>
      <c r="Z1429" s="2"/>
      <c r="AA1429" s="2"/>
      <c r="AB1429" s="2"/>
      <c r="AC1429" s="3"/>
      <c r="AD1429" s="2"/>
      <c r="AE1429" s="2"/>
      <c r="AF1429" s="2"/>
      <c r="AG1429" s="2" t="s">
        <v>96</v>
      </c>
      <c r="AH1429" s="2" t="s">
        <v>537</v>
      </c>
      <c r="AI1429" s="2" t="s">
        <v>536</v>
      </c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</row>
    <row r="1430" spans="2:58">
      <c r="B1430" s="2"/>
      <c r="C1430" s="1">
        <v>43689</v>
      </c>
      <c r="E1430" s="2" t="s">
        <v>297</v>
      </c>
      <c r="F1430" s="2"/>
      <c r="G1430" s="5" t="s">
        <v>528</v>
      </c>
      <c r="H1430" s="2"/>
      <c r="I1430" s="2"/>
      <c r="J1430" s="2"/>
      <c r="K1430" s="2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2"/>
      <c r="AA1430" s="2"/>
      <c r="AB1430" s="2"/>
      <c r="AC1430" s="3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</row>
    <row r="1431" spans="2:58">
      <c r="B1431" s="2"/>
      <c r="C1431" s="1">
        <v>43689</v>
      </c>
      <c r="E1431" s="2" t="s">
        <v>521</v>
      </c>
      <c r="F1431" s="2"/>
      <c r="G1431" s="2" t="s">
        <v>524</v>
      </c>
      <c r="H1431" s="2" t="s">
        <v>525</v>
      </c>
      <c r="I1431" s="2"/>
      <c r="J1431" s="2">
        <v>1</v>
      </c>
      <c r="K1431" s="2"/>
      <c r="L1431" s="3">
        <v>27.5</v>
      </c>
      <c r="M1431" s="3">
        <v>2.75</v>
      </c>
      <c r="N1431" s="3">
        <v>1.45</v>
      </c>
      <c r="O1431" s="3"/>
      <c r="P1431" s="3">
        <v>1.93</v>
      </c>
      <c r="Q1431" s="6">
        <f>+L1431-M1431-N1431+P1431</f>
        <v>25.23</v>
      </c>
      <c r="R1431" s="3"/>
      <c r="S1431" s="3">
        <v>18.399999999999999</v>
      </c>
      <c r="T1431" s="3">
        <v>1.1499999999999999</v>
      </c>
      <c r="U1431" s="3"/>
      <c r="V1431" s="3"/>
      <c r="W1431" s="3"/>
      <c r="X1431" s="2">
        <f>+S1431+T1431-W1431</f>
        <v>19.549999999999997</v>
      </c>
      <c r="Y1431" s="6">
        <f>+Q1431-X1431</f>
        <v>5.6800000000000033</v>
      </c>
      <c r="Z1431" s="2"/>
      <c r="AA1431" s="2"/>
      <c r="AB1431" s="2"/>
      <c r="AC1431" s="3"/>
      <c r="AD1431" s="2"/>
      <c r="AE1431" s="2"/>
      <c r="AF1431" s="2"/>
      <c r="AG1431" s="2" t="s">
        <v>233</v>
      </c>
      <c r="AH1431" s="2" t="s">
        <v>527</v>
      </c>
      <c r="AI1431" s="2" t="s">
        <v>526</v>
      </c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</row>
    <row r="1432" spans="2:58">
      <c r="B1432" s="2"/>
      <c r="E1432" s="2"/>
      <c r="F1432" s="2"/>
      <c r="G1432" s="2"/>
      <c r="H1432" s="2"/>
      <c r="I1432" s="2"/>
      <c r="J1432" s="2"/>
      <c r="K1432" s="2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2"/>
      <c r="AA1432" s="2"/>
      <c r="AB1432" s="2"/>
      <c r="AC1432" s="3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</row>
    <row r="1433" spans="2:58">
      <c r="B1433" s="2">
        <v>2</v>
      </c>
      <c r="C1433" s="1">
        <v>43688</v>
      </c>
      <c r="E1433" s="2" t="s">
        <v>531</v>
      </c>
      <c r="F1433" s="2"/>
      <c r="G1433" s="2" t="s">
        <v>529</v>
      </c>
      <c r="H1433" s="2" t="s">
        <v>530</v>
      </c>
      <c r="I1433" s="2"/>
      <c r="J1433" s="2">
        <v>1</v>
      </c>
      <c r="K1433" s="2"/>
      <c r="L1433" s="3">
        <v>11.7</v>
      </c>
      <c r="M1433" s="3">
        <v>1.17</v>
      </c>
      <c r="N1433" s="3">
        <v>0.76</v>
      </c>
      <c r="O1433" s="3"/>
      <c r="P1433" s="3">
        <v>0</v>
      </c>
      <c r="Q1433" s="6">
        <f>+L1433-M1433-N1433+P1433</f>
        <v>9.77</v>
      </c>
      <c r="R1433" s="3"/>
      <c r="S1433" s="3">
        <v>8.39</v>
      </c>
      <c r="T1433" s="3">
        <v>0.56000000000000005</v>
      </c>
      <c r="U1433" s="3"/>
      <c r="V1433" s="3"/>
      <c r="W1433" s="3"/>
      <c r="X1433" s="2">
        <f>+S1433+T1433-W1433</f>
        <v>8.9500000000000011</v>
      </c>
      <c r="Y1433" s="6">
        <f>+Q1433-X1433</f>
        <v>0.81999999999999851</v>
      </c>
      <c r="Z1433" s="2"/>
      <c r="AA1433" s="2"/>
      <c r="AB1433" s="2"/>
      <c r="AC1433" s="3"/>
      <c r="AD1433" s="2"/>
      <c r="AE1433" s="2"/>
      <c r="AF1433" s="2"/>
      <c r="AG1433" s="2" t="s">
        <v>141</v>
      </c>
      <c r="AH1433" s="2" t="s">
        <v>533</v>
      </c>
      <c r="AI1433" s="2" t="s">
        <v>532</v>
      </c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</row>
    <row r="1434" spans="2:58">
      <c r="B1434" s="2"/>
      <c r="C1434" s="1">
        <v>43688</v>
      </c>
      <c r="E1434" s="2" t="s">
        <v>61</v>
      </c>
      <c r="F1434" s="2"/>
      <c r="G1434" s="2" t="s">
        <v>522</v>
      </c>
      <c r="H1434" s="2" t="s">
        <v>523</v>
      </c>
      <c r="I1434" s="2"/>
      <c r="J1434" s="2">
        <v>1</v>
      </c>
      <c r="K1434" s="2"/>
      <c r="L1434" s="3">
        <v>35.799999999999997</v>
      </c>
      <c r="M1434" s="3">
        <v>3.58</v>
      </c>
      <c r="N1434" s="3">
        <v>1.7</v>
      </c>
      <c r="O1434" s="3"/>
      <c r="P1434" s="3"/>
      <c r="Q1434" s="6">
        <f>+L1434-M1434-N1434+P1434</f>
        <v>30.52</v>
      </c>
      <c r="R1434" s="3"/>
      <c r="S1434" s="3">
        <v>25.98</v>
      </c>
      <c r="T1434" s="3">
        <v>2.08</v>
      </c>
      <c r="U1434" s="3"/>
      <c r="V1434" s="3"/>
      <c r="W1434" s="3"/>
      <c r="X1434" s="2">
        <f>+S1434+T1434-W1434</f>
        <v>28.060000000000002</v>
      </c>
      <c r="Y1434" s="6">
        <f>+Q1434-X1434</f>
        <v>2.4599999999999973</v>
      </c>
      <c r="Z1434" s="2"/>
      <c r="AA1434" s="2"/>
      <c r="AB1434" s="2"/>
      <c r="AC1434" s="3"/>
      <c r="AD1434" s="2"/>
      <c r="AE1434" s="2"/>
      <c r="AF1434" s="2"/>
      <c r="AG1434" s="2" t="s">
        <v>70</v>
      </c>
      <c r="AH1434" s="2" t="s">
        <v>517</v>
      </c>
      <c r="AI1434" s="2" t="s">
        <v>516</v>
      </c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</row>
    <row r="1435" spans="2:58">
      <c r="B1435" s="2"/>
      <c r="E1435" s="2"/>
      <c r="F1435" s="2"/>
      <c r="G1435" s="2"/>
      <c r="H1435" s="2"/>
      <c r="I1435" s="2"/>
      <c r="J1435" s="2"/>
      <c r="K1435" s="2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2"/>
      <c r="AA1435" s="2"/>
      <c r="AB1435" s="2"/>
      <c r="AC1435" s="3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</row>
    <row r="1436" spans="2:58">
      <c r="B1436" s="2">
        <v>1</v>
      </c>
      <c r="C1436" s="1">
        <v>43687</v>
      </c>
      <c r="E1436" s="2" t="s">
        <v>393</v>
      </c>
      <c r="F1436" s="2"/>
      <c r="G1436" s="2" t="s">
        <v>515</v>
      </c>
      <c r="H1436" s="2" t="s">
        <v>514</v>
      </c>
      <c r="I1436" s="2"/>
      <c r="J1436" s="2">
        <v>1</v>
      </c>
      <c r="K1436" s="2"/>
      <c r="L1436" s="3">
        <v>57.6</v>
      </c>
      <c r="M1436" s="3">
        <v>5.76</v>
      </c>
      <c r="N1436" s="3">
        <v>2.7</v>
      </c>
      <c r="O1436" s="3"/>
      <c r="P1436" s="3">
        <v>4.03</v>
      </c>
      <c r="Q1436" s="6">
        <f>+L1436-M1436-N1436+P1436</f>
        <v>53.17</v>
      </c>
      <c r="R1436" s="3"/>
      <c r="S1436" s="3">
        <v>49.5</v>
      </c>
      <c r="T1436" s="3">
        <v>3.47</v>
      </c>
      <c r="U1436" s="3"/>
      <c r="V1436" s="3"/>
      <c r="W1436" s="3">
        <v>-1.31</v>
      </c>
      <c r="X1436" s="2">
        <f>+S1436+T1436-W1436</f>
        <v>54.28</v>
      </c>
      <c r="Y1436" s="6">
        <f>+Q1436-X1436</f>
        <v>-1.1099999999999994</v>
      </c>
      <c r="Z1436" s="2"/>
      <c r="AA1436" s="2"/>
      <c r="AB1436" s="2"/>
      <c r="AC1436" s="3"/>
      <c r="AD1436" s="2"/>
      <c r="AE1436" s="2"/>
      <c r="AF1436" s="2"/>
      <c r="AG1436" s="2" t="s">
        <v>96</v>
      </c>
      <c r="AH1436" s="2" t="s">
        <v>513</v>
      </c>
      <c r="AI1436" s="4" t="s">
        <v>512</v>
      </c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</row>
    <row r="1437" spans="2:58">
      <c r="B1437" s="2"/>
      <c r="E1437" s="2" t="s">
        <v>16</v>
      </c>
      <c r="F1437" s="2"/>
      <c r="G1437" s="2"/>
      <c r="H1437" s="2"/>
      <c r="I1437" s="2"/>
      <c r="J1437" s="2"/>
      <c r="K1437" s="2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2" t="s">
        <v>16</v>
      </c>
      <c r="AA1437" s="2"/>
      <c r="AB1437" s="2"/>
      <c r="AC1437" s="3"/>
      <c r="AD1437" s="2"/>
      <c r="AE1437" s="2"/>
      <c r="AF1437" s="2"/>
      <c r="AG1437" s="2"/>
      <c r="AH1437" s="2"/>
      <c r="AI1437" s="4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</row>
    <row r="1438" spans="2:58">
      <c r="B1438" s="2">
        <v>3</v>
      </c>
      <c r="C1438" s="1">
        <v>43686</v>
      </c>
      <c r="E1438" s="2" t="s">
        <v>518</v>
      </c>
      <c r="F1438" s="2"/>
      <c r="G1438" s="2" t="s">
        <v>519</v>
      </c>
      <c r="H1438" s="2" t="s">
        <v>520</v>
      </c>
      <c r="I1438" s="2"/>
      <c r="J1438" s="2">
        <v>1</v>
      </c>
      <c r="K1438" s="2"/>
      <c r="L1438" s="3">
        <v>19.5</v>
      </c>
      <c r="M1438" s="3">
        <v>1.95</v>
      </c>
      <c r="N1438" s="3">
        <v>1.1100000000000001</v>
      </c>
      <c r="O1438" s="3"/>
      <c r="P1438" s="3">
        <v>1.37</v>
      </c>
      <c r="Q1438" s="6">
        <f>+L1438-M1438-N1438+P1438</f>
        <v>17.810000000000002</v>
      </c>
      <c r="R1438" s="3"/>
      <c r="S1438" s="3">
        <v>17.95</v>
      </c>
      <c r="T1438" s="3"/>
      <c r="U1438" s="3"/>
      <c r="V1438" s="3"/>
      <c r="W1438" s="3"/>
      <c r="X1438" s="2">
        <f>+S1438+T1438-W1438</f>
        <v>17.95</v>
      </c>
      <c r="Y1438" s="6">
        <f>+Q1438-X1438</f>
        <v>-0.13999999999999702</v>
      </c>
      <c r="Z1438" s="2"/>
      <c r="AA1438" s="2"/>
      <c r="AB1438" s="2"/>
      <c r="AC1438" s="3"/>
      <c r="AD1438" s="2"/>
      <c r="AE1438" s="2"/>
      <c r="AF1438" s="2"/>
      <c r="AG1438" s="2" t="s">
        <v>455</v>
      </c>
      <c r="AH1438" s="2" t="s">
        <v>511</v>
      </c>
      <c r="AI1438" s="2" t="s">
        <v>510</v>
      </c>
      <c r="AJ1438" s="2"/>
      <c r="AK1438" s="2" t="s">
        <v>591</v>
      </c>
      <c r="AL1438" s="2" t="s">
        <v>4304</v>
      </c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</row>
    <row r="1439" spans="2:58">
      <c r="B1439" s="2"/>
      <c r="C1439" s="1">
        <v>43686</v>
      </c>
      <c r="E1439" s="2" t="s">
        <v>509</v>
      </c>
      <c r="F1439" s="2"/>
      <c r="G1439" s="2" t="s">
        <v>507</v>
      </c>
      <c r="H1439" s="2" t="s">
        <v>508</v>
      </c>
      <c r="I1439" s="2"/>
      <c r="J1439" s="2">
        <v>1</v>
      </c>
      <c r="K1439" s="2"/>
      <c r="L1439" s="3">
        <v>16.5</v>
      </c>
      <c r="M1439" s="3">
        <v>1.65</v>
      </c>
      <c r="N1439" s="3">
        <v>0.97</v>
      </c>
      <c r="O1439" s="3"/>
      <c r="P1439" s="3">
        <v>0.74</v>
      </c>
      <c r="Q1439" s="6">
        <f>+L1439-M1439-N1439+P1439</f>
        <v>14.62</v>
      </c>
      <c r="R1439" s="3"/>
      <c r="S1439" s="3">
        <v>16.989999999999998</v>
      </c>
      <c r="T1439" s="3">
        <v>0.8</v>
      </c>
      <c r="U1439" s="3"/>
      <c r="V1439" s="3"/>
      <c r="W1439" s="3"/>
      <c r="X1439" s="2">
        <f>+S1439+T1439-W1439</f>
        <v>17.79</v>
      </c>
      <c r="Y1439" s="6">
        <f>+Q1439-X1439</f>
        <v>-3.17</v>
      </c>
      <c r="Z1439" s="2"/>
      <c r="AA1439" s="2"/>
      <c r="AB1439" s="2"/>
      <c r="AC1439" s="3"/>
      <c r="AD1439" s="2"/>
      <c r="AE1439" s="2"/>
      <c r="AF1439" s="2"/>
      <c r="AG1439" s="2" t="s">
        <v>491</v>
      </c>
      <c r="AH1439" s="4" t="s">
        <v>506</v>
      </c>
      <c r="AI1439" s="2" t="s">
        <v>505</v>
      </c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</row>
    <row r="1440" spans="2:58">
      <c r="B1440" s="2"/>
      <c r="C1440" s="1">
        <v>43686</v>
      </c>
      <c r="E1440" s="2" t="s">
        <v>178</v>
      </c>
      <c r="F1440" s="2"/>
      <c r="G1440" s="2" t="s">
        <v>503</v>
      </c>
      <c r="H1440" s="2" t="s">
        <v>504</v>
      </c>
      <c r="I1440" s="2"/>
      <c r="J1440" s="2">
        <v>1</v>
      </c>
      <c r="K1440" s="2"/>
      <c r="L1440" s="3">
        <v>24.5</v>
      </c>
      <c r="M1440" s="3">
        <v>2.4500000000000002</v>
      </c>
      <c r="N1440" s="3">
        <v>1.32</v>
      </c>
      <c r="O1440" s="3"/>
      <c r="P1440" s="3">
        <v>1.72</v>
      </c>
      <c r="Q1440" s="6">
        <f>+L1440-M1440-N1440+P1440</f>
        <v>22.45</v>
      </c>
      <c r="R1440" s="3"/>
      <c r="S1440" s="3">
        <v>14.98</v>
      </c>
      <c r="T1440" s="3"/>
      <c r="U1440" s="3"/>
      <c r="V1440" s="3"/>
      <c r="W1440" s="3"/>
      <c r="X1440" s="2">
        <f>+S1440+T1440-W1440</f>
        <v>14.98</v>
      </c>
      <c r="Y1440" s="6">
        <f>+Q1440-X1440</f>
        <v>7.4699999999999989</v>
      </c>
      <c r="Z1440" s="2"/>
      <c r="AA1440" s="2"/>
      <c r="AB1440" s="2"/>
      <c r="AC1440" s="3"/>
      <c r="AD1440" s="2"/>
      <c r="AE1440" s="2"/>
      <c r="AF1440" s="2"/>
      <c r="AG1440" s="2" t="s">
        <v>233</v>
      </c>
      <c r="AH1440" s="4" t="s">
        <v>502</v>
      </c>
      <c r="AI1440" s="2" t="s">
        <v>501</v>
      </c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</row>
    <row r="1441" spans="2:58">
      <c r="B1441" s="2"/>
      <c r="E1441" s="2"/>
      <c r="F1441" s="2"/>
      <c r="G1441" s="2"/>
      <c r="H1441" s="2"/>
      <c r="I1441" s="2"/>
      <c r="J1441" s="2"/>
      <c r="K1441" s="2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 t="s">
        <v>16</v>
      </c>
      <c r="Z1441" s="2"/>
      <c r="AA1441" s="2"/>
      <c r="AB1441" s="2"/>
      <c r="AC1441" s="3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</row>
    <row r="1442" spans="2:58">
      <c r="B1442" s="2">
        <v>2</v>
      </c>
      <c r="C1442" s="1">
        <v>43685</v>
      </c>
      <c r="E1442" s="2" t="s">
        <v>61</v>
      </c>
      <c r="F1442" s="2"/>
      <c r="G1442" s="2" t="s">
        <v>499</v>
      </c>
      <c r="H1442" s="2" t="s">
        <v>500</v>
      </c>
      <c r="I1442" s="2"/>
      <c r="J1442" s="2">
        <v>2</v>
      </c>
      <c r="K1442" s="2"/>
      <c r="L1442" s="3">
        <v>57.4</v>
      </c>
      <c r="M1442" s="3">
        <v>5.74</v>
      </c>
      <c r="N1442" s="3">
        <v>2.7</v>
      </c>
      <c r="O1442" s="3"/>
      <c r="P1442" s="3">
        <v>4.0199999999999996</v>
      </c>
      <c r="Q1442" s="6">
        <f>+L1442-M1442-N1442+P1442</f>
        <v>52.97999999999999</v>
      </c>
      <c r="R1442" s="3"/>
      <c r="S1442" s="3">
        <v>51.96</v>
      </c>
      <c r="T1442" s="3">
        <v>3.76</v>
      </c>
      <c r="U1442" s="3"/>
      <c r="V1442" s="3"/>
      <c r="W1442" s="3">
        <v>0</v>
      </c>
      <c r="X1442" s="2">
        <f>+S1442+T1442-W1442</f>
        <v>55.72</v>
      </c>
      <c r="Y1442" s="6">
        <f>+Q1442-X1442</f>
        <v>-2.7400000000000091</v>
      </c>
      <c r="Z1442" s="2"/>
      <c r="AA1442" s="2"/>
      <c r="AB1442" s="2"/>
      <c r="AC1442" s="3"/>
      <c r="AD1442" s="2"/>
      <c r="AE1442" s="2"/>
      <c r="AF1442" s="2"/>
      <c r="AG1442" s="2" t="s">
        <v>233</v>
      </c>
      <c r="AH1442" s="2" t="s">
        <v>498</v>
      </c>
      <c r="AI1442" s="4" t="s">
        <v>497</v>
      </c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</row>
    <row r="1443" spans="2:58">
      <c r="B1443" s="2"/>
      <c r="C1443" s="1">
        <v>43685</v>
      </c>
      <c r="E1443" s="2" t="s">
        <v>393</v>
      </c>
      <c r="F1443" s="2"/>
      <c r="G1443" s="2" t="s">
        <v>496</v>
      </c>
      <c r="H1443" s="2"/>
      <c r="I1443" s="2"/>
      <c r="J1443" s="2">
        <v>1</v>
      </c>
      <c r="K1443" s="2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2"/>
      <c r="AA1443" s="2"/>
      <c r="AB1443" s="2"/>
      <c r="AC1443" s="3"/>
      <c r="AD1443" s="2"/>
      <c r="AE1443" s="2"/>
      <c r="AF1443" s="2"/>
      <c r="AG1443" s="2" t="s">
        <v>112</v>
      </c>
      <c r="AH1443" s="2" t="s">
        <v>495</v>
      </c>
      <c r="AI1443" s="2" t="s">
        <v>494</v>
      </c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</row>
    <row r="1444" spans="2:58">
      <c r="B1444" s="2"/>
      <c r="E1444" s="2"/>
      <c r="F1444" s="2"/>
      <c r="G1444" s="2"/>
      <c r="H1444" s="2" t="s">
        <v>16</v>
      </c>
      <c r="I1444" s="2"/>
      <c r="J1444" s="2"/>
      <c r="K1444" s="2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2"/>
      <c r="AA1444" s="2"/>
      <c r="AB1444" s="2"/>
      <c r="AC1444" s="3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</row>
    <row r="1445" spans="2:58">
      <c r="B1445" s="2">
        <v>1</v>
      </c>
      <c r="C1445" s="1">
        <v>43684</v>
      </c>
      <c r="E1445" s="2" t="s">
        <v>488</v>
      </c>
      <c r="F1445" s="2"/>
      <c r="G1445" s="2" t="s">
        <v>492</v>
      </c>
      <c r="H1445" s="5" t="s">
        <v>493</v>
      </c>
      <c r="I1445" s="2"/>
      <c r="J1445" s="2">
        <v>1</v>
      </c>
      <c r="K1445" s="2"/>
      <c r="L1445" s="3">
        <v>0</v>
      </c>
      <c r="M1445" s="3">
        <v>0</v>
      </c>
      <c r="N1445" s="3">
        <v>0</v>
      </c>
      <c r="O1445" s="3"/>
      <c r="P1445" s="3">
        <v>0</v>
      </c>
      <c r="Q1445" s="6">
        <f>+L1445-M1445-N1445+P1445</f>
        <v>0</v>
      </c>
      <c r="R1445" s="3"/>
      <c r="S1445" s="3">
        <v>0</v>
      </c>
      <c r="T1445" s="3"/>
      <c r="U1445" s="3"/>
      <c r="V1445" s="3"/>
      <c r="W1445" s="3">
        <v>0</v>
      </c>
      <c r="X1445" s="2">
        <f>+S1445+T1445-W1445</f>
        <v>0</v>
      </c>
      <c r="Y1445" s="6">
        <f>+Q1445-X1445</f>
        <v>0</v>
      </c>
      <c r="Z1445" s="2"/>
      <c r="AA1445" s="2"/>
      <c r="AB1445" s="2"/>
      <c r="AC1445" s="3"/>
      <c r="AD1445" s="2"/>
      <c r="AE1445" s="2"/>
      <c r="AF1445" s="2"/>
      <c r="AG1445" s="2" t="s">
        <v>491</v>
      </c>
      <c r="AH1445" s="2" t="s">
        <v>490</v>
      </c>
      <c r="AI1445" s="2" t="s">
        <v>489</v>
      </c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</row>
    <row r="1446" spans="2:58">
      <c r="B1446" s="2"/>
      <c r="C1446" s="1">
        <v>43684</v>
      </c>
      <c r="E1446" s="2" t="s">
        <v>35</v>
      </c>
      <c r="F1446" s="2"/>
      <c r="G1446" s="2" t="s">
        <v>486</v>
      </c>
      <c r="H1446" s="2" t="s">
        <v>487</v>
      </c>
      <c r="I1446" s="2"/>
      <c r="J1446" s="2">
        <v>1</v>
      </c>
      <c r="K1446" s="2"/>
      <c r="L1446" s="3">
        <v>52.7</v>
      </c>
      <c r="M1446" s="3">
        <v>5.27</v>
      </c>
      <c r="N1446" s="3">
        <v>2.36</v>
      </c>
      <c r="O1446" s="3"/>
      <c r="P1446" s="3"/>
      <c r="Q1446" s="6">
        <f>+L1446-M1446-N1446+P1446</f>
        <v>45.070000000000007</v>
      </c>
      <c r="R1446" s="3"/>
      <c r="S1446" s="3">
        <v>30.39</v>
      </c>
      <c r="T1446" s="3"/>
      <c r="U1446" s="3"/>
      <c r="V1446" s="3"/>
      <c r="W1446" s="3"/>
      <c r="X1446" s="2">
        <f>+S1446+T1446-W1446</f>
        <v>30.39</v>
      </c>
      <c r="Y1446" s="6">
        <f>+Q1446-X1446</f>
        <v>14.680000000000007</v>
      </c>
      <c r="Z1446" s="2"/>
      <c r="AA1446" s="2"/>
      <c r="AB1446" s="2"/>
      <c r="AC1446" s="3"/>
      <c r="AD1446" s="2"/>
      <c r="AE1446" s="2"/>
      <c r="AF1446" s="2"/>
      <c r="AG1446" s="2" t="s">
        <v>28</v>
      </c>
      <c r="AH1446" s="2" t="s">
        <v>485</v>
      </c>
      <c r="AI1446" s="2" t="s">
        <v>484</v>
      </c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</row>
    <row r="1447" spans="2:58">
      <c r="B1447" s="2"/>
      <c r="E1447" s="2"/>
      <c r="F1447" s="2"/>
      <c r="G1447" s="2"/>
      <c r="H1447" s="2"/>
      <c r="I1447" s="2"/>
      <c r="J1447" s="2"/>
      <c r="K1447" s="2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2"/>
      <c r="AA1447" s="2"/>
      <c r="AB1447" s="2"/>
      <c r="AC1447" s="3"/>
      <c r="AD1447" s="2"/>
      <c r="AE1447" s="2"/>
      <c r="AF1447" s="2"/>
      <c r="AG1447" s="2" t="s">
        <v>16</v>
      </c>
      <c r="AH1447" s="2" t="s">
        <v>16</v>
      </c>
      <c r="AI1447" s="2" t="s">
        <v>16</v>
      </c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</row>
    <row r="1448" spans="2:58">
      <c r="B1448" s="2">
        <v>2</v>
      </c>
      <c r="C1448" s="1">
        <v>43683</v>
      </c>
      <c r="E1448" s="2" t="s">
        <v>178</v>
      </c>
      <c r="F1448" s="2"/>
      <c r="G1448" s="2" t="s">
        <v>480</v>
      </c>
      <c r="H1448" s="2" t="s">
        <v>481</v>
      </c>
      <c r="I1448" s="2"/>
      <c r="J1448" s="2">
        <v>1</v>
      </c>
      <c r="K1448" s="2"/>
      <c r="L1448" s="3">
        <v>24.5</v>
      </c>
      <c r="M1448" s="3">
        <v>2.4500000000000002</v>
      </c>
      <c r="N1448" s="3">
        <v>1.32</v>
      </c>
      <c r="O1448" s="3"/>
      <c r="P1448" s="3">
        <v>1.72</v>
      </c>
      <c r="Q1448" s="6">
        <f>+L1448-M1448-N1448+P1448</f>
        <v>22.45</v>
      </c>
      <c r="R1448" s="3"/>
      <c r="S1448" s="3">
        <v>14.98</v>
      </c>
      <c r="T1448" s="3">
        <v>1.1599999999999999</v>
      </c>
      <c r="U1448" s="3"/>
      <c r="V1448" s="3"/>
      <c r="W1448" s="3"/>
      <c r="X1448" s="2">
        <f>+S1448+T1448-W1448</f>
        <v>16.14</v>
      </c>
      <c r="Y1448" s="6">
        <f>+Q1448-X1448</f>
        <v>6.3099999999999987</v>
      </c>
      <c r="Z1448" s="2"/>
      <c r="AA1448" s="2"/>
      <c r="AB1448" s="2"/>
      <c r="AC1448" s="3"/>
      <c r="AD1448" s="2"/>
      <c r="AE1448" s="2"/>
      <c r="AF1448" s="2"/>
      <c r="AG1448" s="2" t="s">
        <v>233</v>
      </c>
      <c r="AH1448" s="2" t="s">
        <v>483</v>
      </c>
      <c r="AI1448" s="2" t="s">
        <v>482</v>
      </c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</row>
    <row r="1449" spans="2:58">
      <c r="B1449" s="2"/>
      <c r="C1449" s="1">
        <v>43683</v>
      </c>
      <c r="E1449" s="2" t="s">
        <v>35</v>
      </c>
      <c r="F1449" s="2"/>
      <c r="G1449" s="2" t="s">
        <v>1443</v>
      </c>
      <c r="H1449" s="2" t="s">
        <v>479</v>
      </c>
      <c r="I1449" s="2"/>
      <c r="J1449" s="2">
        <v>1</v>
      </c>
      <c r="K1449" s="2"/>
      <c r="L1449" s="3">
        <v>52.7</v>
      </c>
      <c r="M1449" s="3">
        <v>5.27</v>
      </c>
      <c r="N1449" s="3">
        <v>2.5</v>
      </c>
      <c r="O1449" s="3"/>
      <c r="P1449" s="3">
        <v>3.69</v>
      </c>
      <c r="Q1449" s="6">
        <f>+L1449-M1449-N1449+P1449</f>
        <v>48.620000000000005</v>
      </c>
      <c r="R1449" s="3"/>
      <c r="S1449" s="3">
        <v>40.39</v>
      </c>
      <c r="T1449" s="3">
        <v>2.83</v>
      </c>
      <c r="U1449" s="3"/>
      <c r="V1449" s="3"/>
      <c r="W1449" s="3">
        <v>-1.31</v>
      </c>
      <c r="X1449" s="2">
        <f>+S1449+T1449-W1449</f>
        <v>44.53</v>
      </c>
      <c r="Y1449" s="6">
        <f>+Q1449-X1449</f>
        <v>4.0900000000000034</v>
      </c>
      <c r="Z1449" s="2"/>
      <c r="AA1449" s="2"/>
      <c r="AB1449" s="2"/>
      <c r="AC1449" s="3"/>
      <c r="AD1449" s="2"/>
      <c r="AE1449" s="2"/>
      <c r="AF1449" s="2"/>
      <c r="AG1449" s="2" t="s">
        <v>96</v>
      </c>
      <c r="AH1449" t="s">
        <v>478</v>
      </c>
      <c r="AI1449" s="2" t="s">
        <v>477</v>
      </c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</row>
    <row r="1450" spans="2:58">
      <c r="B1450" s="2"/>
      <c r="E1450" s="2"/>
      <c r="F1450" s="2"/>
      <c r="G1450" s="2"/>
      <c r="H1450" s="2"/>
      <c r="I1450" s="2"/>
      <c r="J1450" s="2"/>
      <c r="K1450" s="2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 t="s">
        <v>16</v>
      </c>
      <c r="Y1450" s="3"/>
      <c r="Z1450" s="2"/>
      <c r="AA1450" s="2"/>
      <c r="AB1450" s="2"/>
      <c r="AC1450" s="3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</row>
    <row r="1451" spans="2:58">
      <c r="B1451" s="2">
        <v>3</v>
      </c>
      <c r="C1451" s="1">
        <v>43682</v>
      </c>
      <c r="E1451" s="2" t="s">
        <v>476</v>
      </c>
      <c r="F1451" s="2"/>
      <c r="G1451" s="2" t="s">
        <v>474</v>
      </c>
      <c r="H1451" s="2" t="s">
        <v>475</v>
      </c>
      <c r="I1451" s="2"/>
      <c r="J1451" s="2">
        <v>1</v>
      </c>
      <c r="K1451" s="2"/>
      <c r="L1451" s="3">
        <v>11.5</v>
      </c>
      <c r="M1451" s="3">
        <v>1.1499999999999999</v>
      </c>
      <c r="N1451" s="3">
        <v>0.75</v>
      </c>
      <c r="O1451" s="3"/>
      <c r="P1451" s="3"/>
      <c r="Q1451" s="6">
        <f>+L1451-M1451-N1451+P1451</f>
        <v>9.6</v>
      </c>
      <c r="R1451" s="3"/>
      <c r="S1451" s="3">
        <v>8.4499999999999993</v>
      </c>
      <c r="T1451" s="3">
        <v>0.75</v>
      </c>
      <c r="U1451" s="3"/>
      <c r="V1451" s="3"/>
      <c r="W1451" s="3"/>
      <c r="X1451" s="2">
        <f>+S1451+T1451-W1451</f>
        <v>9.1999999999999993</v>
      </c>
      <c r="Y1451" s="6">
        <f>+Q1451-X1451</f>
        <v>0.40000000000000036</v>
      </c>
      <c r="Z1451" s="2"/>
      <c r="AA1451" s="2"/>
      <c r="AB1451" s="2" t="s">
        <v>16</v>
      </c>
      <c r="AC1451" s="3"/>
      <c r="AD1451" s="2"/>
      <c r="AE1451" s="2"/>
      <c r="AF1451" s="2"/>
      <c r="AG1451" s="2" t="s">
        <v>64</v>
      </c>
      <c r="AH1451" s="4" t="s">
        <v>473</v>
      </c>
      <c r="AI1451" s="2" t="s">
        <v>472</v>
      </c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</row>
    <row r="1452" spans="2:58">
      <c r="B1452" s="2"/>
      <c r="C1452" s="1">
        <v>43682</v>
      </c>
      <c r="E1452" s="2" t="s">
        <v>35</v>
      </c>
      <c r="F1452" s="2"/>
      <c r="G1452" s="2" t="s">
        <v>467</v>
      </c>
      <c r="H1452" s="2" t="s">
        <v>468</v>
      </c>
      <c r="I1452" s="2"/>
      <c r="J1452" s="2">
        <v>1</v>
      </c>
      <c r="K1452" s="2"/>
      <c r="L1452" s="3">
        <v>52.6</v>
      </c>
      <c r="M1452" s="3">
        <v>5.26</v>
      </c>
      <c r="N1452" s="3">
        <v>2.35</v>
      </c>
      <c r="O1452" s="3"/>
      <c r="P1452" s="3"/>
      <c r="Q1452" s="6">
        <f>+L1452-M1452-N1452+P1452</f>
        <v>44.99</v>
      </c>
      <c r="R1452" s="3"/>
      <c r="S1452" s="3">
        <v>40.39</v>
      </c>
      <c r="T1452" s="3">
        <v>2.42</v>
      </c>
      <c r="U1452" s="3"/>
      <c r="V1452" s="3"/>
      <c r="W1452" s="3"/>
      <c r="X1452" s="2">
        <f>+S1452+T1452-W1452</f>
        <v>42.81</v>
      </c>
      <c r="Y1452" s="6">
        <f>+Q1452-X1452</f>
        <v>2.1799999999999997</v>
      </c>
      <c r="Z1452" s="2"/>
      <c r="AA1452" s="2"/>
      <c r="AB1452" s="2"/>
      <c r="AC1452" s="3"/>
      <c r="AD1452" s="2"/>
      <c r="AE1452" s="2"/>
      <c r="AF1452" s="2"/>
      <c r="AG1452" s="2" t="s">
        <v>471</v>
      </c>
      <c r="AH1452" s="2" t="s">
        <v>470</v>
      </c>
      <c r="AI1452" s="2" t="s">
        <v>469</v>
      </c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</row>
    <row r="1453" spans="2:58">
      <c r="B1453" s="2"/>
      <c r="C1453" s="1">
        <v>43682</v>
      </c>
      <c r="E1453" s="2" t="s">
        <v>35</v>
      </c>
      <c r="F1453" s="2"/>
      <c r="G1453" s="2" t="s">
        <v>463</v>
      </c>
      <c r="H1453" s="2" t="s">
        <v>464</v>
      </c>
      <c r="I1453" s="2"/>
      <c r="J1453" s="2">
        <v>1</v>
      </c>
      <c r="K1453" s="2"/>
      <c r="L1453" s="3">
        <v>52.5</v>
      </c>
      <c r="M1453" s="3">
        <v>5.25</v>
      </c>
      <c r="N1453" s="3">
        <v>2.52</v>
      </c>
      <c r="O1453" s="3"/>
      <c r="P1453" s="3">
        <v>4.33</v>
      </c>
      <c r="Q1453" s="6">
        <f>+L1453-M1453-N1453+P1453</f>
        <v>49.059999999999995</v>
      </c>
      <c r="R1453" s="3"/>
      <c r="S1453" s="3">
        <v>40.39</v>
      </c>
      <c r="T1453" s="3">
        <v>3.33</v>
      </c>
      <c r="U1453" s="3"/>
      <c r="V1453" s="3"/>
      <c r="W1453" s="3">
        <v>-1.31</v>
      </c>
      <c r="X1453" s="2">
        <f>+S1453+T1453-W1453</f>
        <v>45.03</v>
      </c>
      <c r="Y1453" s="6">
        <f>+Q1453-X1453</f>
        <v>4.029999999999994</v>
      </c>
      <c r="Z1453" s="2"/>
      <c r="AA1453" s="2"/>
      <c r="AB1453" s="2"/>
      <c r="AC1453" s="3"/>
      <c r="AD1453" s="2"/>
      <c r="AE1453" s="2"/>
      <c r="AF1453" s="2"/>
      <c r="AG1453" s="2" t="s">
        <v>112</v>
      </c>
      <c r="AH1453" s="4" t="s">
        <v>466</v>
      </c>
      <c r="AI1453" s="2" t="s">
        <v>465</v>
      </c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</row>
    <row r="1454" spans="2:58">
      <c r="B1454" s="2"/>
      <c r="E1454" s="2"/>
      <c r="F1454" s="2"/>
      <c r="G1454" s="2"/>
      <c r="H1454" s="2"/>
      <c r="I1454" s="2"/>
      <c r="J1454" s="2"/>
      <c r="K1454" s="2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2"/>
      <c r="AA1454" s="2"/>
      <c r="AB1454" s="2"/>
      <c r="AC1454" s="3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</row>
    <row r="1455" spans="2:58">
      <c r="B1455" s="2">
        <v>5</v>
      </c>
      <c r="C1455" s="1">
        <v>43681</v>
      </c>
      <c r="E1455" s="2" t="s">
        <v>427</v>
      </c>
      <c r="F1455" s="2"/>
      <c r="G1455" s="2" t="s">
        <v>448</v>
      </c>
      <c r="H1455" s="2" t="s">
        <v>449</v>
      </c>
      <c r="I1455" s="2"/>
      <c r="J1455" s="2">
        <v>1</v>
      </c>
      <c r="K1455" s="2"/>
      <c r="L1455" s="3">
        <v>33.5</v>
      </c>
      <c r="M1455" s="3">
        <v>3.35</v>
      </c>
      <c r="N1455" s="3">
        <v>1.72</v>
      </c>
      <c r="O1455" s="3"/>
      <c r="P1455" s="3">
        <v>3.02</v>
      </c>
      <c r="Q1455" s="6">
        <f>+L1455-M1455-N1455+P1455</f>
        <v>31.45</v>
      </c>
      <c r="R1455" s="3"/>
      <c r="S1455" s="3">
        <v>23.79</v>
      </c>
      <c r="T1455" s="3">
        <v>1.9</v>
      </c>
      <c r="U1455" s="3"/>
      <c r="V1455" s="3"/>
      <c r="W1455" s="3">
        <v>-1</v>
      </c>
      <c r="X1455" s="2">
        <f>+S1455+T1455-W1455</f>
        <v>26.689999999999998</v>
      </c>
      <c r="Y1455" s="6">
        <f>+Q1455-X1455</f>
        <v>4.7600000000000016</v>
      </c>
      <c r="Z1455" s="2"/>
      <c r="AA1455" s="2"/>
      <c r="AB1455" s="2"/>
      <c r="AC1455" s="3"/>
      <c r="AD1455" s="2"/>
      <c r="AE1455" s="2"/>
      <c r="AF1455" s="2"/>
      <c r="AG1455" s="2" t="s">
        <v>15</v>
      </c>
      <c r="AH1455" s="2" t="s">
        <v>450</v>
      </c>
      <c r="AI1455" s="4" t="s">
        <v>447</v>
      </c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</row>
    <row r="1456" spans="2:58">
      <c r="B1456" s="2"/>
      <c r="C1456" s="1">
        <v>43681</v>
      </c>
      <c r="E1456" s="2" t="s">
        <v>35</v>
      </c>
      <c r="F1456" s="2"/>
      <c r="G1456" s="2" t="s">
        <v>451</v>
      </c>
      <c r="H1456" s="2" t="s">
        <v>452</v>
      </c>
      <c r="I1456" s="2"/>
      <c r="J1456" s="2">
        <v>1</v>
      </c>
      <c r="K1456" s="2"/>
      <c r="L1456" s="3">
        <v>52.5</v>
      </c>
      <c r="M1456" s="3">
        <v>5.25</v>
      </c>
      <c r="N1456" s="3">
        <v>2.4900000000000002</v>
      </c>
      <c r="O1456" s="3"/>
      <c r="P1456" s="3">
        <v>3.68</v>
      </c>
      <c r="Q1456" s="6">
        <f>+L1456-M1456-N1456+P1456</f>
        <v>48.44</v>
      </c>
      <c r="R1456" s="3"/>
      <c r="S1456" s="3">
        <v>40.450000000000003</v>
      </c>
      <c r="T1456" s="3">
        <v>2.83</v>
      </c>
      <c r="U1456" s="3"/>
      <c r="V1456" s="3"/>
      <c r="W1456" s="3"/>
      <c r="X1456" s="2">
        <f>+S1456+T1456-W1456</f>
        <v>43.28</v>
      </c>
      <c r="Y1456" s="6">
        <f>+Q1456-X1456</f>
        <v>5.1599999999999966</v>
      </c>
      <c r="Z1456" s="2"/>
      <c r="AA1456" s="2"/>
      <c r="AB1456" s="2"/>
      <c r="AC1456" s="3"/>
      <c r="AD1456" s="2"/>
      <c r="AE1456" s="2"/>
      <c r="AF1456" s="2"/>
      <c r="AG1456" s="2" t="s">
        <v>455</v>
      </c>
      <c r="AH1456" s="2" t="s">
        <v>454</v>
      </c>
      <c r="AI1456" s="2" t="s">
        <v>453</v>
      </c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</row>
    <row r="1457" spans="2:58">
      <c r="B1457" s="2"/>
      <c r="C1457" s="1">
        <v>43681</v>
      </c>
      <c r="E1457" s="2" t="s">
        <v>61</v>
      </c>
      <c r="F1457" s="2"/>
      <c r="G1457" s="2" t="s">
        <v>456</v>
      </c>
      <c r="H1457" s="2" t="s">
        <v>457</v>
      </c>
      <c r="I1457" s="2"/>
      <c r="J1457" s="2">
        <v>1</v>
      </c>
      <c r="K1457" s="2"/>
      <c r="L1457" s="3">
        <v>28.7</v>
      </c>
      <c r="M1457" s="3">
        <v>2.87</v>
      </c>
      <c r="N1457" s="3">
        <v>1.42</v>
      </c>
      <c r="O1457" s="3"/>
      <c r="P1457" s="3">
        <v>0</v>
      </c>
      <c r="Q1457" s="6">
        <f>+L1457-M1457-N1457+P1457</f>
        <v>24.409999999999997</v>
      </c>
      <c r="R1457" s="3"/>
      <c r="S1457" s="3">
        <v>19</v>
      </c>
      <c r="T1457" s="3">
        <v>1.21</v>
      </c>
      <c r="U1457" s="3"/>
      <c r="V1457" s="3"/>
      <c r="W1457" s="3">
        <v>0</v>
      </c>
      <c r="X1457" s="2">
        <f>+S1457+T1457-W1457</f>
        <v>20.21</v>
      </c>
      <c r="Y1457" s="6">
        <f>+Q1457-X1457</f>
        <v>4.1999999999999957</v>
      </c>
      <c r="Z1457" s="2"/>
      <c r="AA1457" s="2"/>
      <c r="AB1457" s="2"/>
      <c r="AC1457" s="3"/>
      <c r="AD1457" s="2"/>
      <c r="AE1457" s="2"/>
      <c r="AF1457" s="2"/>
      <c r="AG1457" s="2" t="s">
        <v>446</v>
      </c>
      <c r="AH1457" s="4" t="s">
        <v>445</v>
      </c>
      <c r="AI1457" s="2" t="s">
        <v>444</v>
      </c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</row>
    <row r="1458" spans="2:58">
      <c r="B1458" s="2"/>
      <c r="C1458" s="1">
        <v>43681</v>
      </c>
      <c r="E1458" s="2" t="s">
        <v>443</v>
      </c>
      <c r="F1458" s="2"/>
      <c r="G1458" s="4" t="s">
        <v>1442</v>
      </c>
      <c r="H1458" s="2" t="s">
        <v>442</v>
      </c>
      <c r="I1458" s="2"/>
      <c r="J1458" s="2">
        <v>1</v>
      </c>
      <c r="K1458" s="2"/>
      <c r="L1458" s="3">
        <v>41.5</v>
      </c>
      <c r="M1458" s="3">
        <v>4.1500000000000004</v>
      </c>
      <c r="N1458" s="3">
        <v>1.92</v>
      </c>
      <c r="O1458" s="3"/>
      <c r="P1458" s="3"/>
      <c r="Q1458" s="6">
        <f>+L1458-M1458-N1458+P1458</f>
        <v>35.43</v>
      </c>
      <c r="R1458" s="3"/>
      <c r="S1458" s="3">
        <v>27.79</v>
      </c>
      <c r="T1458" s="3"/>
      <c r="U1458" s="3"/>
      <c r="V1458" s="3"/>
      <c r="W1458" s="3"/>
      <c r="X1458" s="2">
        <f>+S1458+T1458-W1458</f>
        <v>27.79</v>
      </c>
      <c r="Y1458" s="6">
        <f>+Q1458-X1458</f>
        <v>7.6400000000000006</v>
      </c>
      <c r="Z1458" s="2"/>
      <c r="AA1458" s="2"/>
      <c r="AB1458" s="2"/>
      <c r="AC1458" s="3"/>
      <c r="AD1458" s="2"/>
      <c r="AE1458" s="2"/>
      <c r="AF1458" s="2"/>
      <c r="AG1458" s="2" t="s">
        <v>145</v>
      </c>
      <c r="AH1458" s="4" t="s">
        <v>441</v>
      </c>
      <c r="AI1458" s="2" t="s">
        <v>440</v>
      </c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</row>
    <row r="1459" spans="2:58">
      <c r="B1459" s="2"/>
      <c r="C1459" s="1">
        <v>43681</v>
      </c>
      <c r="E1459" s="2" t="s">
        <v>35</v>
      </c>
      <c r="F1459" s="2"/>
      <c r="G1459" s="2" t="s">
        <v>438</v>
      </c>
      <c r="H1459" s="2" t="s">
        <v>439</v>
      </c>
      <c r="I1459" s="2"/>
      <c r="J1459" s="2">
        <v>1</v>
      </c>
      <c r="K1459" s="2"/>
      <c r="L1459" s="3">
        <v>52.5</v>
      </c>
      <c r="M1459" s="3">
        <v>5.25</v>
      </c>
      <c r="N1459" s="3">
        <v>2.35</v>
      </c>
      <c r="O1459" s="3"/>
      <c r="P1459" s="3"/>
      <c r="Q1459" s="6">
        <f>+L1459-M1459-N1459+P1459</f>
        <v>44.9</v>
      </c>
      <c r="R1459" s="3"/>
      <c r="S1459" s="3">
        <v>40.450000000000003</v>
      </c>
      <c r="T1459" s="3"/>
      <c r="U1459" s="3"/>
      <c r="V1459" s="3"/>
      <c r="W1459" s="3">
        <v>-1.31</v>
      </c>
      <c r="X1459" s="2">
        <f>+S1459+T1459-W1459</f>
        <v>41.760000000000005</v>
      </c>
      <c r="Y1459" s="6">
        <f>+Q1459-X1459</f>
        <v>3.1399999999999935</v>
      </c>
      <c r="Z1459" s="2" t="s">
        <v>16</v>
      </c>
      <c r="AA1459" s="2"/>
      <c r="AB1459" s="2"/>
      <c r="AC1459" s="3"/>
      <c r="AD1459" s="2"/>
      <c r="AE1459" s="2"/>
      <c r="AF1459" s="2"/>
      <c r="AG1459" s="2" t="s">
        <v>92</v>
      </c>
      <c r="AH1459" s="2" t="s">
        <v>437</v>
      </c>
      <c r="AI1459" s="2" t="s">
        <v>436</v>
      </c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</row>
    <row r="1460" spans="2:58">
      <c r="B1460" s="2"/>
      <c r="C1460" s="1"/>
      <c r="E1460" s="2"/>
      <c r="F1460" s="2"/>
      <c r="G1460" s="2"/>
      <c r="H1460" s="2"/>
      <c r="I1460" s="2"/>
      <c r="J1460" s="2"/>
      <c r="K1460" s="2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2"/>
      <c r="AA1460" s="2"/>
      <c r="AB1460" s="2"/>
      <c r="AC1460" s="3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</row>
    <row r="1461" spans="2:58">
      <c r="B1461" s="2">
        <v>2</v>
      </c>
      <c r="C1461" s="1">
        <v>43680</v>
      </c>
      <c r="E1461" s="2" t="s">
        <v>427</v>
      </c>
      <c r="F1461" s="2"/>
      <c r="G1461" s="2" t="s">
        <v>430</v>
      </c>
      <c r="H1461" s="2" t="s">
        <v>431</v>
      </c>
      <c r="I1461" s="2"/>
      <c r="J1461" s="2">
        <v>1</v>
      </c>
      <c r="K1461" s="2"/>
      <c r="L1461" s="3">
        <v>33.5</v>
      </c>
      <c r="M1461" s="3">
        <v>3.35</v>
      </c>
      <c r="N1461" s="3">
        <v>1.72</v>
      </c>
      <c r="O1461" s="3"/>
      <c r="P1461" s="3">
        <v>3.02</v>
      </c>
      <c r="Q1461" s="6">
        <f>+L1461-M1461-N1461+P1461</f>
        <v>31.45</v>
      </c>
      <c r="R1461" s="3"/>
      <c r="S1461" s="3">
        <v>23.79</v>
      </c>
      <c r="T1461" s="3">
        <v>1.84</v>
      </c>
      <c r="U1461" s="3"/>
      <c r="V1461" s="3"/>
      <c r="W1461" s="3"/>
      <c r="X1461" s="2">
        <f>+S1461+T1461-W1461</f>
        <v>25.63</v>
      </c>
      <c r="Y1461" s="6">
        <f>+Q1461-X1461</f>
        <v>5.82</v>
      </c>
      <c r="Z1461" s="2"/>
      <c r="AA1461" s="2"/>
      <c r="AB1461" s="2"/>
      <c r="AC1461" s="3"/>
      <c r="AD1461" s="2"/>
      <c r="AE1461" s="2"/>
      <c r="AF1461" s="2"/>
      <c r="AG1461" s="2" t="s">
        <v>15</v>
      </c>
      <c r="AH1461" s="2" t="s">
        <v>429</v>
      </c>
      <c r="AI1461" s="2" t="s">
        <v>428</v>
      </c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</row>
    <row r="1462" spans="2:58">
      <c r="B1462" s="2"/>
      <c r="C1462" s="1">
        <v>43680</v>
      </c>
      <c r="E1462" s="2" t="s">
        <v>35</v>
      </c>
      <c r="F1462" s="2"/>
      <c r="G1462" s="2" t="s">
        <v>433</v>
      </c>
      <c r="H1462" s="2" t="s">
        <v>432</v>
      </c>
      <c r="I1462" s="2"/>
      <c r="J1462" s="2">
        <v>1</v>
      </c>
      <c r="K1462" s="2"/>
      <c r="L1462" s="3">
        <v>52.7</v>
      </c>
      <c r="M1462" s="3">
        <v>5.27</v>
      </c>
      <c r="N1462" s="3">
        <v>2.36</v>
      </c>
      <c r="O1462" s="3"/>
      <c r="P1462" s="3"/>
      <c r="Q1462" s="6">
        <f>+L1462-M1462-N1462+P1462</f>
        <v>45.070000000000007</v>
      </c>
      <c r="R1462" s="3"/>
      <c r="S1462" s="3"/>
      <c r="T1462" s="3"/>
      <c r="U1462" s="3"/>
      <c r="V1462" s="3"/>
      <c r="W1462" s="3"/>
      <c r="X1462" s="3"/>
      <c r="Y1462" s="3"/>
      <c r="Z1462" s="2"/>
      <c r="AA1462" s="2"/>
      <c r="AB1462" s="2"/>
      <c r="AC1462" s="3"/>
      <c r="AD1462" s="2"/>
      <c r="AE1462" s="2"/>
      <c r="AF1462" s="2"/>
      <c r="AG1462" s="2" t="s">
        <v>13</v>
      </c>
      <c r="AH1462" s="2" t="s">
        <v>435</v>
      </c>
      <c r="AI1462" s="2" t="s">
        <v>434</v>
      </c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</row>
    <row r="1463" spans="2:58">
      <c r="B1463" s="2"/>
      <c r="E1463" s="2"/>
      <c r="F1463" s="2"/>
      <c r="G1463" s="2"/>
      <c r="H1463" s="2"/>
      <c r="I1463" s="2"/>
      <c r="J1463" s="2"/>
      <c r="K1463" s="2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2"/>
      <c r="AA1463" s="2"/>
      <c r="AB1463" s="2"/>
      <c r="AC1463" s="3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</row>
    <row r="1464" spans="2:58">
      <c r="B1464" s="2">
        <v>4</v>
      </c>
      <c r="C1464" s="1">
        <v>43679</v>
      </c>
      <c r="E1464" s="2" t="s">
        <v>297</v>
      </c>
      <c r="F1464" s="2"/>
      <c r="G1464" s="2" t="s">
        <v>421</v>
      </c>
      <c r="H1464" s="2" t="s">
        <v>422</v>
      </c>
      <c r="I1464" s="2"/>
      <c r="J1464" s="2">
        <v>1</v>
      </c>
      <c r="K1464" s="2"/>
      <c r="L1464" s="3">
        <v>17.899999999999999</v>
      </c>
      <c r="M1464" s="3">
        <v>1.79</v>
      </c>
      <c r="N1464" s="3">
        <v>1</v>
      </c>
      <c r="O1464" s="3"/>
      <c r="P1464" s="3">
        <v>0</v>
      </c>
      <c r="Q1464" s="6">
        <f>+L1464-M1464-N1464+P1464</f>
        <v>15.11</v>
      </c>
      <c r="R1464" s="3"/>
      <c r="S1464" s="3">
        <v>10.49</v>
      </c>
      <c r="T1464" s="3">
        <v>0.73</v>
      </c>
      <c r="U1464" s="3"/>
      <c r="V1464" s="3"/>
      <c r="W1464" s="3"/>
      <c r="X1464" s="2">
        <f>+S1464+T1464-W1464</f>
        <v>11.22</v>
      </c>
      <c r="Y1464" s="6">
        <f>+Q1464-X1464</f>
        <v>3.8899999999999988</v>
      </c>
      <c r="Z1464" s="2" t="s">
        <v>16</v>
      </c>
      <c r="AA1464" s="2"/>
      <c r="AB1464" s="2"/>
      <c r="AC1464" s="8">
        <f>+Y1464</f>
        <v>3.8899999999999988</v>
      </c>
      <c r="AD1464" s="2"/>
      <c r="AE1464" s="2"/>
      <c r="AF1464" s="2"/>
      <c r="AG1464" s="2" t="s">
        <v>425</v>
      </c>
      <c r="AH1464" s="2" t="s">
        <v>424</v>
      </c>
      <c r="AI1464" s="2" t="s">
        <v>423</v>
      </c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</row>
    <row r="1465" spans="2:58">
      <c r="B1465" s="2"/>
      <c r="C1465" s="1">
        <v>43679</v>
      </c>
      <c r="E1465" s="2" t="s">
        <v>35</v>
      </c>
      <c r="F1465" s="2"/>
      <c r="G1465" s="2" t="s">
        <v>419</v>
      </c>
      <c r="H1465" s="2" t="s">
        <v>420</v>
      </c>
      <c r="I1465" s="2"/>
      <c r="J1465" s="2">
        <v>1</v>
      </c>
      <c r="K1465" s="2"/>
      <c r="L1465" s="3">
        <v>52.7</v>
      </c>
      <c r="M1465" s="3">
        <v>5.27</v>
      </c>
      <c r="N1465" s="3">
        <v>2.5</v>
      </c>
      <c r="O1465" s="3"/>
      <c r="P1465" s="3">
        <v>3.69</v>
      </c>
      <c r="Q1465" s="6">
        <f>+L1465-M1465-N1465+P1465</f>
        <v>48.620000000000005</v>
      </c>
      <c r="R1465" s="3"/>
      <c r="S1465" s="3">
        <v>40.549999999999997</v>
      </c>
      <c r="T1465" s="3">
        <v>2.84</v>
      </c>
      <c r="U1465" s="3"/>
      <c r="V1465" s="3"/>
      <c r="W1465" s="3"/>
      <c r="X1465" s="2">
        <f>+S1465+T1465-W1465</f>
        <v>43.39</v>
      </c>
      <c r="Y1465" s="6">
        <f>+Q1465-X1465</f>
        <v>5.230000000000004</v>
      </c>
      <c r="Z1465" s="2"/>
      <c r="AA1465" s="2"/>
      <c r="AB1465" s="2"/>
      <c r="AC1465" s="3"/>
      <c r="AD1465" s="2"/>
      <c r="AE1465" s="2"/>
      <c r="AF1465" s="2"/>
      <c r="AG1465" s="2" t="s">
        <v>24</v>
      </c>
      <c r="AH1465" s="2" t="s">
        <v>418</v>
      </c>
      <c r="AI1465" s="2" t="s">
        <v>417</v>
      </c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</row>
    <row r="1466" spans="2:58">
      <c r="B1466" s="2"/>
      <c r="C1466" s="1">
        <v>43679</v>
      </c>
      <c r="E1466" s="2" t="s">
        <v>426</v>
      </c>
      <c r="F1466" s="2"/>
      <c r="G1466" s="2"/>
      <c r="H1466" s="2"/>
      <c r="I1466" s="2"/>
      <c r="J1466" s="2">
        <v>1</v>
      </c>
      <c r="K1466" s="2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2"/>
      <c r="AA1466" s="2"/>
      <c r="AB1466" s="2"/>
      <c r="AC1466" s="3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</row>
    <row r="1467" spans="2:58">
      <c r="B1467" s="2"/>
      <c r="C1467" s="1">
        <v>43679</v>
      </c>
      <c r="D1467" s="2"/>
      <c r="E1467" s="2" t="s">
        <v>35</v>
      </c>
      <c r="F1467" s="2"/>
      <c r="G1467" s="2" t="s">
        <v>415</v>
      </c>
      <c r="H1467" s="2" t="s">
        <v>416</v>
      </c>
      <c r="I1467" s="2"/>
      <c r="J1467" s="2">
        <v>1</v>
      </c>
      <c r="K1467" s="2"/>
      <c r="L1467" s="3">
        <v>52.7</v>
      </c>
      <c r="M1467" s="3">
        <v>5.27</v>
      </c>
      <c r="N1467" s="3">
        <v>2.36</v>
      </c>
      <c r="O1467" s="3"/>
      <c r="P1467" s="3"/>
      <c r="Q1467" s="6">
        <f>+L1467-M1467-N1467+P1467</f>
        <v>45.070000000000007</v>
      </c>
      <c r="R1467" s="3"/>
      <c r="S1467" s="3">
        <v>39.979999999999997</v>
      </c>
      <c r="T1467" s="3">
        <v>4.5999999999999996</v>
      </c>
      <c r="U1467" s="3"/>
      <c r="V1467" s="3"/>
      <c r="W1467" s="3"/>
      <c r="X1467" s="2">
        <f>+S1467+T1467-W1467</f>
        <v>44.58</v>
      </c>
      <c r="Y1467" s="6">
        <f>+Q1467-X1467</f>
        <v>0.49000000000000909</v>
      </c>
      <c r="Z1467" s="2"/>
      <c r="AA1467" s="2"/>
      <c r="AB1467" s="2"/>
      <c r="AC1467" s="3"/>
      <c r="AD1467" s="2"/>
      <c r="AE1467" s="2"/>
      <c r="AF1467" s="2"/>
      <c r="AG1467" s="2" t="s">
        <v>24</v>
      </c>
      <c r="AH1467" s="2" t="s">
        <v>418</v>
      </c>
      <c r="AI1467" s="2" t="s">
        <v>417</v>
      </c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</row>
    <row r="1468" spans="2:58" s="2" customFormat="1" ht="15">
      <c r="E1468" s="2" t="s">
        <v>16</v>
      </c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AC1468" s="3"/>
    </row>
    <row r="1469" spans="2:58" s="2" customFormat="1" ht="15">
      <c r="B1469" s="2">
        <v>4</v>
      </c>
      <c r="C1469" s="1">
        <v>43678</v>
      </c>
      <c r="E1469" s="2" t="s">
        <v>35</v>
      </c>
      <c r="G1469" s="2" t="s">
        <v>412</v>
      </c>
      <c r="H1469" s="2" t="s">
        <v>413</v>
      </c>
      <c r="J1469" s="2">
        <v>1</v>
      </c>
      <c r="L1469" s="3">
        <v>51.2</v>
      </c>
      <c r="M1469" s="3">
        <v>5.12</v>
      </c>
      <c r="N1469" s="3">
        <v>2.48</v>
      </c>
      <c r="O1469" s="3"/>
      <c r="P1469" s="3">
        <v>4.6100000000000003</v>
      </c>
      <c r="Q1469" s="6">
        <f>+L1469-M1469-N1469+P1469</f>
        <v>48.210000000000008</v>
      </c>
      <c r="R1469" s="3"/>
      <c r="S1469" s="3">
        <v>40.549999999999997</v>
      </c>
      <c r="T1469" s="3">
        <v>3.14</v>
      </c>
      <c r="U1469" s="3"/>
      <c r="V1469" s="3"/>
      <c r="W1469" s="3">
        <v>-1.32</v>
      </c>
      <c r="X1469" s="2">
        <f>+S1469+T1469-W1469</f>
        <v>45.01</v>
      </c>
      <c r="Y1469" s="6">
        <f>+Q1469-X1469</f>
        <v>3.2000000000000099</v>
      </c>
      <c r="Z1469" s="3"/>
      <c r="AA1469" s="3"/>
      <c r="AB1469" s="3"/>
      <c r="AC1469" s="3"/>
      <c r="AG1469" s="2" t="s">
        <v>15</v>
      </c>
      <c r="AH1469" s="2" t="s">
        <v>411</v>
      </c>
      <c r="AI1469" s="2" t="s">
        <v>410</v>
      </c>
    </row>
    <row r="1470" spans="2:58" s="2" customFormat="1" ht="15">
      <c r="C1470" s="1">
        <v>43678</v>
      </c>
      <c r="E1470" s="2" t="s">
        <v>297</v>
      </c>
      <c r="G1470" s="2" t="s">
        <v>407</v>
      </c>
      <c r="H1470" s="2" t="s">
        <v>408</v>
      </c>
      <c r="J1470" s="2">
        <v>1</v>
      </c>
      <c r="L1470" s="3">
        <v>17.899999999999999</v>
      </c>
      <c r="M1470" s="3">
        <v>1.79</v>
      </c>
      <c r="N1470" s="3">
        <v>1</v>
      </c>
      <c r="O1470" s="3"/>
      <c r="P1470" s="3">
        <v>0</v>
      </c>
      <c r="Q1470" s="6">
        <f>+L1470-M1470-N1470+P1470</f>
        <v>15.11</v>
      </c>
      <c r="R1470" s="3"/>
      <c r="S1470" s="3">
        <v>10.49</v>
      </c>
      <c r="T1470" s="3">
        <v>0.84</v>
      </c>
      <c r="U1470" s="3"/>
      <c r="V1470" s="3"/>
      <c r="W1470" s="3"/>
      <c r="X1470" s="2">
        <f>+S1470+T1470-W1470</f>
        <v>11.33</v>
      </c>
      <c r="Y1470" s="6">
        <f>+Q1470-X1470</f>
        <v>3.7799999999999994</v>
      </c>
      <c r="Z1470" s="3"/>
      <c r="AA1470" s="3"/>
      <c r="AB1470" s="3"/>
      <c r="AC1470" s="8">
        <f>+Y1470</f>
        <v>3.7799999999999994</v>
      </c>
      <c r="AG1470" s="2" t="s">
        <v>152</v>
      </c>
      <c r="AH1470" s="2" t="s">
        <v>406</v>
      </c>
      <c r="AI1470" s="2" t="s">
        <v>405</v>
      </c>
    </row>
    <row r="1471" spans="2:58" s="2" customFormat="1" ht="15">
      <c r="C1471" s="1">
        <v>43678</v>
      </c>
      <c r="E1471" s="2" t="s">
        <v>297</v>
      </c>
      <c r="G1471" s="2" t="s">
        <v>403</v>
      </c>
      <c r="H1471" s="2" t="s">
        <v>404</v>
      </c>
      <c r="J1471" s="2">
        <v>2</v>
      </c>
      <c r="L1471" s="3">
        <v>35.799999999999997</v>
      </c>
      <c r="M1471" s="3">
        <v>3.58</v>
      </c>
      <c r="N1471" s="3">
        <v>1.7</v>
      </c>
      <c r="O1471" s="3"/>
      <c r="P1471" s="3"/>
      <c r="Q1471" s="6">
        <f>+L1471-M1471-N1471+P1471</f>
        <v>30.52</v>
      </c>
      <c r="R1471" s="3"/>
      <c r="S1471" s="3">
        <v>18.8</v>
      </c>
      <c r="T1471" s="3">
        <v>1</v>
      </c>
      <c r="U1471" s="3"/>
      <c r="V1471" s="3"/>
      <c r="W1471" s="3"/>
      <c r="X1471" s="2">
        <f>+S1471+T1471-W1471</f>
        <v>19.8</v>
      </c>
      <c r="Y1471" s="6">
        <f>+Q1471-X1471</f>
        <v>10.719999999999999</v>
      </c>
      <c r="Z1471" s="3" t="s">
        <v>16</v>
      </c>
      <c r="AA1471" s="3"/>
      <c r="AB1471" s="3"/>
      <c r="AC1471" s="8">
        <f>+Y1471</f>
        <v>10.719999999999999</v>
      </c>
      <c r="AG1471" s="2" t="s">
        <v>402</v>
      </c>
      <c r="AH1471" s="2" t="s">
        <v>401</v>
      </c>
      <c r="AI1471" s="2" t="s">
        <v>400</v>
      </c>
    </row>
    <row r="1472" spans="2:58" s="2" customFormat="1" ht="15">
      <c r="C1472" s="1">
        <v>43678</v>
      </c>
      <c r="E1472" s="2" t="s">
        <v>35</v>
      </c>
      <c r="G1472" s="2" t="s">
        <v>398</v>
      </c>
      <c r="H1472" s="2" t="s">
        <v>399</v>
      </c>
      <c r="J1472" s="2">
        <v>1</v>
      </c>
      <c r="L1472" s="3">
        <v>51.16</v>
      </c>
      <c r="M1472" s="2">
        <v>5.12</v>
      </c>
      <c r="N1472" s="2">
        <v>2.71</v>
      </c>
      <c r="P1472" s="3">
        <v>3.58</v>
      </c>
      <c r="Q1472" s="6">
        <f>+L1472-M1472-N1472+P1472</f>
        <v>46.91</v>
      </c>
      <c r="S1472" s="2">
        <v>36.46</v>
      </c>
      <c r="T1472" s="2">
        <v>2.46</v>
      </c>
      <c r="X1472" s="2">
        <f>+S1472+T1472-W1472</f>
        <v>38.92</v>
      </c>
      <c r="Y1472" s="6">
        <f>+Q1472-X1472</f>
        <v>7.9899999999999949</v>
      </c>
    </row>
    <row r="1473" spans="2:58" s="2" customFormat="1" ht="15">
      <c r="B1473" s="2">
        <f>SUM(B1375:B1472)</f>
        <v>63</v>
      </c>
      <c r="L1473" s="3"/>
      <c r="P1473" s="3"/>
      <c r="Z1473" s="6">
        <f>SUM(Y1375:Y1472)</f>
        <v>282.64</v>
      </c>
    </row>
    <row r="1474" spans="2:58">
      <c r="B1474" s="2">
        <v>4</v>
      </c>
      <c r="C1474" s="1">
        <v>43677</v>
      </c>
      <c r="E1474" s="2" t="s">
        <v>35</v>
      </c>
      <c r="F1474" s="2"/>
      <c r="G1474" s="2" t="s">
        <v>379</v>
      </c>
      <c r="H1474" s="2" t="s">
        <v>380</v>
      </c>
      <c r="I1474" s="2"/>
      <c r="J1474" s="2">
        <v>1</v>
      </c>
      <c r="K1474" s="2"/>
      <c r="L1474" s="3">
        <v>51.15</v>
      </c>
      <c r="M1474" s="6">
        <f>+L1474*0.1</f>
        <v>5.1150000000000002</v>
      </c>
      <c r="N1474" s="6">
        <v>2.74</v>
      </c>
      <c r="O1474" s="7">
        <f>+N1474/(+L1474+P1474)</f>
        <v>4.948528083799892E-2</v>
      </c>
      <c r="P1474" s="3">
        <v>4.22</v>
      </c>
      <c r="Q1474" s="6">
        <f>+L1474-M1474-N1474+P1474</f>
        <v>47.514999999999993</v>
      </c>
      <c r="R1474" s="6"/>
      <c r="S1474" s="2">
        <v>36.46</v>
      </c>
      <c r="T1474" s="2">
        <v>3.01</v>
      </c>
      <c r="U1474" s="2"/>
      <c r="V1474" s="2"/>
      <c r="W1474" s="2"/>
      <c r="X1474" s="2">
        <f>+S1474+T1474-W1474</f>
        <v>39.47</v>
      </c>
      <c r="Y1474" s="6">
        <f>+Q1474-X1474</f>
        <v>8.0449999999999946</v>
      </c>
      <c r="Z1474" s="6">
        <f>+Y1474</f>
        <v>8.0449999999999946</v>
      </c>
      <c r="AA1474" s="6"/>
      <c r="AB1474" s="6"/>
      <c r="AC1474" s="6"/>
      <c r="AD1474" s="2"/>
      <c r="AE1474" s="2"/>
      <c r="AF1474" s="2"/>
      <c r="AG1474" s="2" t="s">
        <v>112</v>
      </c>
      <c r="AH1474" s="2" t="s">
        <v>382</v>
      </c>
      <c r="AI1474" s="2" t="s">
        <v>381</v>
      </c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</row>
    <row r="1475" spans="2:58">
      <c r="B1475" s="2"/>
      <c r="C1475" s="1">
        <v>43677</v>
      </c>
      <c r="E1475" s="2" t="s">
        <v>35</v>
      </c>
      <c r="F1475" s="2"/>
      <c r="G1475" s="2" t="s">
        <v>375</v>
      </c>
      <c r="H1475" s="2" t="s">
        <v>376</v>
      </c>
      <c r="I1475" s="2"/>
      <c r="J1475" s="2">
        <v>1</v>
      </c>
      <c r="K1475" s="2"/>
      <c r="L1475" s="3">
        <v>51.15</v>
      </c>
      <c r="M1475" s="6">
        <f t="shared" ref="M1475:M1537" si="2448">+L1475*0.1</f>
        <v>5.1150000000000002</v>
      </c>
      <c r="N1475" s="6">
        <v>2.71</v>
      </c>
      <c r="O1475" s="7">
        <f>+N1475/(+L1475+P1475)</f>
        <v>4.9515804860222917E-2</v>
      </c>
      <c r="P1475" s="3">
        <v>3.58</v>
      </c>
      <c r="Q1475" s="6">
        <f>+L1475-M1475-N1475+P1475</f>
        <v>46.904999999999994</v>
      </c>
      <c r="R1475" s="6"/>
      <c r="S1475" s="2">
        <v>36.46</v>
      </c>
      <c r="T1475" s="2">
        <v>2.5499999999999998</v>
      </c>
      <c r="U1475" s="2"/>
      <c r="V1475" s="2"/>
      <c r="W1475" s="2"/>
      <c r="X1475" s="2">
        <f>+S1475+T1475-W1475</f>
        <v>39.01</v>
      </c>
      <c r="Y1475" s="6">
        <f>+Q1475-X1475</f>
        <v>7.894999999999996</v>
      </c>
      <c r="Z1475" s="6">
        <f>+Y1475</f>
        <v>7.894999999999996</v>
      </c>
      <c r="AA1475" s="6"/>
      <c r="AB1475" s="6"/>
      <c r="AC1475" s="6"/>
      <c r="AD1475" s="2"/>
      <c r="AE1475" s="2"/>
      <c r="AF1475" s="2"/>
      <c r="AG1475" s="2" t="s">
        <v>233</v>
      </c>
      <c r="AH1475" s="2" t="s">
        <v>378</v>
      </c>
      <c r="AI1475" s="2" t="s">
        <v>377</v>
      </c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</row>
    <row r="1476" spans="2:58">
      <c r="B1476" s="2"/>
      <c r="C1476" s="1">
        <v>43677</v>
      </c>
      <c r="E1476" s="2" t="s">
        <v>370</v>
      </c>
      <c r="F1476" s="2"/>
      <c r="G1476" s="2" t="s">
        <v>373</v>
      </c>
      <c r="H1476" s="2" t="s">
        <v>374</v>
      </c>
      <c r="I1476" s="2"/>
      <c r="J1476" s="2">
        <v>1</v>
      </c>
      <c r="K1476" s="2"/>
      <c r="L1476" s="3">
        <v>27</v>
      </c>
      <c r="M1476" s="6">
        <f t="shared" si="2448"/>
        <v>2.7</v>
      </c>
      <c r="N1476" s="6">
        <v>1.56</v>
      </c>
      <c r="O1476" s="7">
        <f>+N1476/(+L1476+P1476)</f>
        <v>5.450733752620545E-2</v>
      </c>
      <c r="P1476" s="3">
        <v>1.62</v>
      </c>
      <c r="Q1476" s="6">
        <f>+L1476-M1476-N1476+P1476</f>
        <v>24.360000000000003</v>
      </c>
      <c r="R1476" s="6"/>
      <c r="S1476" s="2">
        <v>18.36</v>
      </c>
      <c r="T1476" s="2">
        <v>1.1000000000000001</v>
      </c>
      <c r="U1476" s="2"/>
      <c r="V1476" s="2"/>
      <c r="W1476" s="2"/>
      <c r="X1476" s="2">
        <f>+S1476+T1476-W1476</f>
        <v>19.46</v>
      </c>
      <c r="Y1476" s="6">
        <f>+Q1476-X1476</f>
        <v>4.9000000000000021</v>
      </c>
      <c r="Z1476" s="2"/>
      <c r="AA1476" s="6">
        <f>+Y1476</f>
        <v>4.9000000000000021</v>
      </c>
      <c r="AB1476" s="6"/>
      <c r="AC1476" s="6"/>
      <c r="AD1476" s="2"/>
      <c r="AE1476" s="2"/>
      <c r="AF1476" s="2"/>
      <c r="AG1476" s="2" t="s">
        <v>197</v>
      </c>
      <c r="AH1476" s="2" t="s">
        <v>372</v>
      </c>
      <c r="AI1476" s="2" t="s">
        <v>371</v>
      </c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</row>
    <row r="1477" spans="2:58">
      <c r="B1477" s="2"/>
      <c r="C1477" s="1">
        <v>43677</v>
      </c>
      <c r="E1477" s="2" t="s">
        <v>35</v>
      </c>
      <c r="F1477" s="2"/>
      <c r="G1477" s="2" t="s">
        <v>367</v>
      </c>
      <c r="H1477" s="2" t="s">
        <v>368</v>
      </c>
      <c r="I1477" s="2"/>
      <c r="J1477" s="2">
        <v>1</v>
      </c>
      <c r="K1477" s="2"/>
      <c r="L1477" s="3">
        <v>51.1</v>
      </c>
      <c r="M1477" s="6">
        <f t="shared" si="2448"/>
        <v>5.1100000000000003</v>
      </c>
      <c r="N1477" s="6">
        <v>2.5499999999999998</v>
      </c>
      <c r="O1477" s="7">
        <f>+N1477/(+L1477+P1477)</f>
        <v>4.9902152641878667E-2</v>
      </c>
      <c r="P1477" s="3"/>
      <c r="Q1477" s="6">
        <f>+L1477-M1477-N1477+P1477</f>
        <v>43.440000000000005</v>
      </c>
      <c r="R1477" s="6"/>
      <c r="S1477" s="2">
        <v>36.46</v>
      </c>
      <c r="T1477" s="2">
        <v>2.19</v>
      </c>
      <c r="U1477" s="2"/>
      <c r="V1477" s="2"/>
      <c r="W1477" s="2"/>
      <c r="X1477" s="2">
        <f>+S1477+T1477-W1477</f>
        <v>38.65</v>
      </c>
      <c r="Y1477" s="6">
        <f>+Q1477-X1477</f>
        <v>4.7900000000000063</v>
      </c>
      <c r="Z1477" s="6">
        <f>+Y1477</f>
        <v>4.7900000000000063</v>
      </c>
      <c r="AA1477" s="6"/>
      <c r="AB1477" s="6"/>
      <c r="AC1477" s="6"/>
      <c r="AD1477" s="2"/>
      <c r="AE1477" s="2"/>
      <c r="AF1477" s="2"/>
      <c r="AG1477" s="2" t="s">
        <v>138</v>
      </c>
      <c r="AH1477" s="2" t="s">
        <v>366</v>
      </c>
      <c r="AI1477" s="2" t="s">
        <v>365</v>
      </c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</row>
    <row r="1478" spans="2:58">
      <c r="B1478" s="2"/>
      <c r="E1478" s="2" t="s">
        <v>16</v>
      </c>
      <c r="F1478" s="2"/>
      <c r="H1478" s="2"/>
      <c r="I1478" s="2"/>
      <c r="J1478" s="2"/>
      <c r="K1478" s="2"/>
      <c r="L1478" s="3"/>
      <c r="M1478" s="6" t="s">
        <v>16</v>
      </c>
      <c r="N1478" s="6" t="s">
        <v>16</v>
      </c>
      <c r="O1478" s="7" t="s">
        <v>16</v>
      </c>
      <c r="P1478" s="3"/>
      <c r="Q1478" s="6" t="s">
        <v>16</v>
      </c>
      <c r="R1478" s="6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</row>
    <row r="1479" spans="2:58">
      <c r="B1479" s="2">
        <v>5</v>
      </c>
      <c r="C1479" s="1">
        <v>43676</v>
      </c>
      <c r="E1479" s="2" t="s">
        <v>35</v>
      </c>
      <c r="F1479" s="2"/>
      <c r="G1479" s="2" t="s">
        <v>363</v>
      </c>
      <c r="H1479" s="2" t="s">
        <v>364</v>
      </c>
      <c r="I1479" s="2"/>
      <c r="J1479" s="2">
        <v>1</v>
      </c>
      <c r="K1479" s="2"/>
      <c r="L1479" s="3">
        <v>51.15</v>
      </c>
      <c r="M1479" s="6">
        <f t="shared" si="2448"/>
        <v>5.1150000000000002</v>
      </c>
      <c r="N1479" s="6">
        <v>2.75</v>
      </c>
      <c r="O1479" s="7">
        <f>+N1479/(+L1479+P1479)</f>
        <v>4.9327354260089683E-2</v>
      </c>
      <c r="P1479" s="3">
        <v>4.5999999999999996</v>
      </c>
      <c r="Q1479" s="6">
        <f>+L1479-M1479-N1479+P1479</f>
        <v>47.884999999999998</v>
      </c>
      <c r="R1479" s="6"/>
      <c r="S1479" s="2">
        <v>36.46</v>
      </c>
      <c r="T1479" s="2">
        <v>3.46</v>
      </c>
      <c r="U1479" s="2"/>
      <c r="V1479" s="2"/>
      <c r="W1479" s="2"/>
      <c r="X1479" s="2">
        <f>+S1479+T1479-W1479</f>
        <v>39.92</v>
      </c>
      <c r="Y1479" s="6">
        <f>+Q1479-X1479</f>
        <v>7.9649999999999963</v>
      </c>
      <c r="Z1479" s="6">
        <f>+Y1479</f>
        <v>7.9649999999999963</v>
      </c>
      <c r="AA1479" s="6"/>
      <c r="AB1479" s="6"/>
      <c r="AC1479" s="6"/>
      <c r="AD1479" s="2"/>
      <c r="AE1479" s="2"/>
      <c r="AF1479" s="2"/>
      <c r="AG1479" s="2" t="s">
        <v>15</v>
      </c>
      <c r="AH1479" s="2" t="s">
        <v>362</v>
      </c>
      <c r="AI1479" s="2" t="s">
        <v>361</v>
      </c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</row>
    <row r="1480" spans="2:58">
      <c r="B1480" s="2"/>
      <c r="C1480" s="1">
        <v>43676</v>
      </c>
      <c r="E1480" s="2" t="s">
        <v>342</v>
      </c>
      <c r="F1480" s="2"/>
      <c r="G1480" s="2" t="s">
        <v>359</v>
      </c>
      <c r="H1480" s="2" t="s">
        <v>360</v>
      </c>
      <c r="I1480" s="2"/>
      <c r="J1480" s="2">
        <v>1</v>
      </c>
      <c r="K1480" s="2"/>
      <c r="L1480" s="3">
        <v>22</v>
      </c>
      <c r="M1480" s="6">
        <f t="shared" si="2448"/>
        <v>2.2000000000000002</v>
      </c>
      <c r="N1480" s="6">
        <v>1.34</v>
      </c>
      <c r="O1480" s="7"/>
      <c r="P1480" s="3">
        <v>1.6</v>
      </c>
      <c r="Q1480" s="6">
        <f>+L1480-M1480-N1480+P1480</f>
        <v>20.060000000000002</v>
      </c>
      <c r="R1480" s="6"/>
      <c r="S1480" s="2">
        <v>14.49</v>
      </c>
      <c r="T1480" s="2"/>
      <c r="U1480" s="2"/>
      <c r="V1480" s="2"/>
      <c r="W1480" s="2"/>
      <c r="X1480" s="2">
        <f>+S1480+T1480-W1480</f>
        <v>14.49</v>
      </c>
      <c r="Y1480" s="6">
        <f>+Q1480-X1480</f>
        <v>5.5700000000000021</v>
      </c>
      <c r="Z1480" s="2"/>
      <c r="AA1480" s="2"/>
      <c r="AB1480" s="2"/>
      <c r="AC1480" s="2"/>
      <c r="AD1480" s="2"/>
      <c r="AE1480" s="6">
        <f>+Y1480</f>
        <v>5.5700000000000021</v>
      </c>
      <c r="AF1480" s="6"/>
      <c r="AG1480" s="2" t="s">
        <v>358</v>
      </c>
      <c r="AH1480" s="2" t="s">
        <v>357</v>
      </c>
      <c r="AI1480" s="2" t="s">
        <v>356</v>
      </c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</row>
    <row r="1481" spans="2:58">
      <c r="B1481" s="2"/>
      <c r="C1481" s="1">
        <v>43676</v>
      </c>
      <c r="E1481" s="2" t="s">
        <v>35</v>
      </c>
      <c r="F1481" s="2"/>
      <c r="G1481" s="2" t="s">
        <v>354</v>
      </c>
      <c r="H1481" s="2" t="s">
        <v>355</v>
      </c>
      <c r="I1481" s="2"/>
      <c r="J1481" s="2">
        <v>1</v>
      </c>
      <c r="K1481" s="2" t="s">
        <v>258</v>
      </c>
      <c r="L1481" s="3">
        <v>50.8</v>
      </c>
      <c r="M1481" s="6">
        <f t="shared" si="2448"/>
        <v>5.08</v>
      </c>
      <c r="N1481" s="6">
        <v>2.54</v>
      </c>
      <c r="O1481" s="7">
        <f>+N1481/(+L1481+P1481)</f>
        <v>0.05</v>
      </c>
      <c r="P1481" s="3"/>
      <c r="Q1481" s="6">
        <f>+L1481-M1481-N1481+P1481</f>
        <v>43.18</v>
      </c>
      <c r="R1481" s="6"/>
      <c r="S1481" s="2">
        <v>36.46</v>
      </c>
      <c r="T1481" s="2">
        <v>2.84</v>
      </c>
      <c r="U1481" s="2"/>
      <c r="V1481" s="2"/>
      <c r="W1481" s="2"/>
      <c r="X1481" s="2">
        <f>+S1481+T1481-W1481</f>
        <v>39.299999999999997</v>
      </c>
      <c r="Y1481" s="6">
        <f>+Q1481-X1481</f>
        <v>3.8800000000000026</v>
      </c>
      <c r="Z1481" s="6">
        <f>+Y1481</f>
        <v>3.8800000000000026</v>
      </c>
      <c r="AA1481" s="6"/>
      <c r="AB1481" s="6"/>
      <c r="AC1481" s="6">
        <f>+Z1481</f>
        <v>3.8800000000000026</v>
      </c>
      <c r="AD1481" s="2"/>
      <c r="AE1481" s="2"/>
      <c r="AF1481" s="2"/>
      <c r="AG1481" s="2" t="s">
        <v>28</v>
      </c>
      <c r="AH1481" s="2" t="s">
        <v>353</v>
      </c>
      <c r="AI1481" s="2" t="s">
        <v>352</v>
      </c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</row>
    <row r="1482" spans="2:58">
      <c r="B1482" s="2"/>
      <c r="C1482" s="1">
        <v>43676</v>
      </c>
      <c r="E1482" s="2" t="s">
        <v>297</v>
      </c>
      <c r="F1482" s="2"/>
      <c r="G1482" s="2" t="s">
        <v>350</v>
      </c>
      <c r="H1482" s="2" t="s">
        <v>351</v>
      </c>
      <c r="I1482" s="2"/>
      <c r="J1482" s="2">
        <v>1</v>
      </c>
      <c r="K1482" s="2"/>
      <c r="L1482" s="3">
        <v>17.8</v>
      </c>
      <c r="M1482" s="6">
        <f t="shared" si="2448"/>
        <v>1.7800000000000002</v>
      </c>
      <c r="N1482" s="6">
        <v>1.08</v>
      </c>
      <c r="O1482" s="7" t="s">
        <v>16</v>
      </c>
      <c r="P1482" s="3"/>
      <c r="Q1482" s="6">
        <f>+L1482-M1482-N1482+P1482</f>
        <v>14.94</v>
      </c>
      <c r="R1482" s="6"/>
      <c r="S1482" s="2">
        <v>10.49</v>
      </c>
      <c r="T1482" s="2">
        <v>0.57999999999999996</v>
      </c>
      <c r="U1482" s="2"/>
      <c r="V1482" s="2"/>
      <c r="W1482" s="2"/>
      <c r="X1482" s="2">
        <f>+S1482+T1482-W1482</f>
        <v>11.07</v>
      </c>
      <c r="Y1482" s="6">
        <f>+Q1482-X1482</f>
        <v>3.8699999999999992</v>
      </c>
      <c r="Z1482" s="2"/>
      <c r="AA1482" s="2"/>
      <c r="AB1482" s="2"/>
      <c r="AC1482" s="2"/>
      <c r="AD1482" s="2"/>
      <c r="AE1482" s="2"/>
      <c r="AF1482" s="2"/>
      <c r="AG1482" s="2" t="s">
        <v>349</v>
      </c>
      <c r="AH1482" s="2" t="s">
        <v>348</v>
      </c>
      <c r="AI1482" s="2" t="s">
        <v>347</v>
      </c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</row>
    <row r="1483" spans="2:58">
      <c r="B1483" s="2"/>
      <c r="C1483" s="1">
        <v>43676</v>
      </c>
      <c r="E1483" s="2" t="s">
        <v>341</v>
      </c>
      <c r="F1483" s="2"/>
      <c r="G1483" s="2" t="s">
        <v>339</v>
      </c>
      <c r="H1483" s="2" t="s">
        <v>340</v>
      </c>
      <c r="I1483" s="2"/>
      <c r="J1483" s="2">
        <v>1</v>
      </c>
      <c r="K1483" s="2" t="s">
        <v>258</v>
      </c>
      <c r="L1483" s="3">
        <v>22.5</v>
      </c>
      <c r="M1483" s="6">
        <f t="shared" si="2448"/>
        <v>2.25</v>
      </c>
      <c r="N1483" s="6">
        <f t="shared" ref="N1483:N1535" si="2449">+L1483*0.05</f>
        <v>1.125</v>
      </c>
      <c r="O1483" s="7"/>
      <c r="P1483" s="3"/>
      <c r="Q1483" s="6">
        <f>+L1483-M1483-N1483+P1483</f>
        <v>19.125</v>
      </c>
      <c r="R1483" s="6"/>
      <c r="S1483" s="2"/>
      <c r="T1483" s="2"/>
      <c r="U1483" s="2"/>
      <c r="V1483" s="2"/>
      <c r="W1483" s="2" t="s">
        <v>16</v>
      </c>
      <c r="X1483" s="2"/>
      <c r="Y1483" s="2"/>
      <c r="Z1483" s="2"/>
      <c r="AA1483" s="2"/>
      <c r="AB1483" s="2"/>
      <c r="AC1483" s="2"/>
      <c r="AD1483" s="2"/>
      <c r="AE1483" s="2"/>
      <c r="AF1483" s="2"/>
      <c r="AG1483" s="2" t="s">
        <v>70</v>
      </c>
      <c r="AH1483" s="2" t="s">
        <v>338</v>
      </c>
      <c r="AI1483" s="2" t="s">
        <v>337</v>
      </c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</row>
    <row r="1484" spans="2:58">
      <c r="B1484" s="2"/>
      <c r="E1484" s="2"/>
      <c r="F1484" s="2"/>
      <c r="G1484" s="2"/>
      <c r="H1484" s="2"/>
      <c r="I1484" s="2"/>
      <c r="J1484" s="2"/>
      <c r="K1484" s="2"/>
      <c r="L1484" s="3"/>
      <c r="M1484" s="6" t="s">
        <v>16</v>
      </c>
      <c r="N1484" s="6" t="s">
        <v>16</v>
      </c>
      <c r="O1484" s="7"/>
      <c r="P1484" s="3"/>
      <c r="Q1484" s="6" t="s">
        <v>16</v>
      </c>
      <c r="R1484" s="6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</row>
    <row r="1485" spans="2:58">
      <c r="B1485" s="2">
        <v>1</v>
      </c>
      <c r="C1485" s="1">
        <v>43675</v>
      </c>
      <c r="E1485" s="2" t="s">
        <v>35</v>
      </c>
      <c r="F1485" s="2"/>
      <c r="G1485" s="2" t="s">
        <v>345</v>
      </c>
      <c r="H1485" s="2" t="s">
        <v>346</v>
      </c>
      <c r="I1485" s="2"/>
      <c r="J1485" s="2">
        <v>1</v>
      </c>
      <c r="K1485" s="2"/>
      <c r="L1485" s="3">
        <v>51.6</v>
      </c>
      <c r="M1485" s="6">
        <f t="shared" si="2448"/>
        <v>5.16</v>
      </c>
      <c r="N1485" s="6">
        <f t="shared" si="2449"/>
        <v>2.58</v>
      </c>
      <c r="O1485" s="7"/>
      <c r="P1485" s="3">
        <v>3.61</v>
      </c>
      <c r="Q1485" s="6">
        <f>+L1485-M1485-N1485+P1485</f>
        <v>47.47</v>
      </c>
      <c r="R1485" s="6"/>
      <c r="S1485" s="2">
        <v>36.47</v>
      </c>
      <c r="T1485" s="2">
        <v>2.5499999999999998</v>
      </c>
      <c r="U1485" s="2"/>
      <c r="V1485" s="2"/>
      <c r="W1485" s="2"/>
      <c r="X1485" s="2">
        <f>+S1485+T1485-W1485</f>
        <v>39.019999999999996</v>
      </c>
      <c r="Y1485" s="6">
        <f>+Q1485-X1485</f>
        <v>8.4500000000000028</v>
      </c>
      <c r="Z1485" s="6">
        <f>+Y1485</f>
        <v>8.4500000000000028</v>
      </c>
      <c r="AA1485" s="6"/>
      <c r="AB1485" s="6"/>
      <c r="AC1485" s="6"/>
      <c r="AD1485" s="2"/>
      <c r="AE1485" s="2"/>
      <c r="AF1485" s="2"/>
      <c r="AG1485" s="2" t="s">
        <v>96</v>
      </c>
      <c r="AH1485" s="2" t="s">
        <v>344</v>
      </c>
      <c r="AI1485" s="2" t="s">
        <v>343</v>
      </c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</row>
    <row r="1486" spans="2:58">
      <c r="B1486" s="2" t="s">
        <v>16</v>
      </c>
      <c r="E1486" s="2"/>
      <c r="F1486" s="2"/>
      <c r="G1486" s="2"/>
      <c r="H1486" s="2"/>
      <c r="I1486" s="2"/>
      <c r="J1486" s="2"/>
      <c r="K1486" s="2"/>
      <c r="L1486" s="3"/>
      <c r="M1486" s="6" t="s">
        <v>16</v>
      </c>
      <c r="N1486" s="6" t="s">
        <v>16</v>
      </c>
      <c r="O1486" s="7"/>
      <c r="P1486" s="3"/>
      <c r="Q1486" s="6" t="s">
        <v>16</v>
      </c>
      <c r="R1486" s="6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</row>
    <row r="1487" spans="2:58">
      <c r="B1487" s="2">
        <v>4</v>
      </c>
      <c r="C1487" s="1">
        <v>43674</v>
      </c>
      <c r="E1487" s="2" t="s">
        <v>35</v>
      </c>
      <c r="F1487" s="2"/>
      <c r="G1487" s="2" t="s">
        <v>335</v>
      </c>
      <c r="H1487" s="2" t="s">
        <v>336</v>
      </c>
      <c r="I1487" s="2"/>
      <c r="J1487" s="2">
        <v>1</v>
      </c>
      <c r="K1487" s="2"/>
      <c r="L1487" s="3">
        <v>53.6</v>
      </c>
      <c r="M1487" s="6">
        <f t="shared" si="2448"/>
        <v>5.36</v>
      </c>
      <c r="N1487" s="6">
        <f t="shared" si="2449"/>
        <v>2.68</v>
      </c>
      <c r="O1487" s="7"/>
      <c r="P1487" s="3">
        <v>4.83</v>
      </c>
      <c r="Q1487" s="6">
        <f>+L1487-M1487-N1487+P1487</f>
        <v>50.39</v>
      </c>
      <c r="R1487" s="6"/>
      <c r="S1487" s="2">
        <v>36.47</v>
      </c>
      <c r="T1487" s="2">
        <v>2.2200000000000002</v>
      </c>
      <c r="U1487" s="2"/>
      <c r="V1487" s="2"/>
      <c r="W1487" s="2"/>
      <c r="X1487" s="2">
        <f>+S1487+T1487-W1487</f>
        <v>38.69</v>
      </c>
      <c r="Y1487" s="6">
        <f>+Q1487-X1487</f>
        <v>11.700000000000003</v>
      </c>
      <c r="Z1487" s="6">
        <f>+Y1487</f>
        <v>11.700000000000003</v>
      </c>
      <c r="AA1487" s="6"/>
      <c r="AB1487" s="6"/>
      <c r="AC1487" s="6"/>
      <c r="AD1487" s="2"/>
      <c r="AE1487" s="2"/>
      <c r="AF1487" s="2"/>
      <c r="AG1487" s="2" t="s">
        <v>334</v>
      </c>
      <c r="AH1487" s="2" t="s">
        <v>333</v>
      </c>
      <c r="AI1487" s="2" t="s">
        <v>332</v>
      </c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</row>
    <row r="1488" spans="2:58">
      <c r="B1488" s="2"/>
      <c r="C1488" s="1">
        <v>43674</v>
      </c>
      <c r="E1488" s="2" t="s">
        <v>35</v>
      </c>
      <c r="F1488" s="2"/>
      <c r="G1488" s="2" t="s">
        <v>330</v>
      </c>
      <c r="H1488" s="2" t="s">
        <v>331</v>
      </c>
      <c r="I1488" s="2"/>
      <c r="J1488" s="2">
        <v>1</v>
      </c>
      <c r="K1488" s="2"/>
      <c r="L1488" s="3">
        <v>53.6</v>
      </c>
      <c r="M1488" s="6">
        <f t="shared" si="2448"/>
        <v>5.36</v>
      </c>
      <c r="N1488" s="6">
        <f t="shared" si="2449"/>
        <v>2.68</v>
      </c>
      <c r="O1488" s="7"/>
      <c r="P1488" s="3">
        <v>3.75</v>
      </c>
      <c r="Q1488" s="6">
        <f>+L1488-M1488-N1488+P1488</f>
        <v>49.31</v>
      </c>
      <c r="R1488" s="6"/>
      <c r="S1488" s="2">
        <v>36.47</v>
      </c>
      <c r="T1488" s="2">
        <v>2.5499999999999998</v>
      </c>
      <c r="U1488" s="2"/>
      <c r="V1488" s="2"/>
      <c r="W1488" s="2"/>
      <c r="X1488" s="2">
        <f>+S1488+T1488-W1488</f>
        <v>39.019999999999996</v>
      </c>
      <c r="Y1488" s="6">
        <f>+Q1488-X1488</f>
        <v>10.290000000000006</v>
      </c>
      <c r="Z1488" s="6">
        <f>+Y1488</f>
        <v>10.290000000000006</v>
      </c>
      <c r="AA1488" s="6"/>
      <c r="AB1488" s="6"/>
      <c r="AC1488" s="6"/>
      <c r="AD1488" s="2"/>
      <c r="AE1488" s="2"/>
      <c r="AF1488" s="2"/>
      <c r="AG1488" s="2" t="s">
        <v>96</v>
      </c>
      <c r="AH1488" s="2" t="s">
        <v>329</v>
      </c>
      <c r="AI1488" s="2" t="s">
        <v>328</v>
      </c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</row>
    <row r="1489" spans="2:58">
      <c r="B1489" s="2"/>
      <c r="C1489" s="1">
        <v>43674</v>
      </c>
      <c r="E1489" s="2" t="s">
        <v>35</v>
      </c>
      <c r="F1489" s="2"/>
      <c r="G1489" s="2" t="s">
        <v>326</v>
      </c>
      <c r="H1489" s="2" t="s">
        <v>327</v>
      </c>
      <c r="I1489" s="2"/>
      <c r="J1489" s="2">
        <v>1</v>
      </c>
      <c r="K1489" s="2"/>
      <c r="L1489" s="3">
        <v>53.6</v>
      </c>
      <c r="M1489" s="6">
        <f t="shared" si="2448"/>
        <v>5.36</v>
      </c>
      <c r="N1489" s="6">
        <f t="shared" si="2449"/>
        <v>2.68</v>
      </c>
      <c r="O1489" s="7"/>
      <c r="P1489" s="3">
        <v>3.22</v>
      </c>
      <c r="Q1489" s="6">
        <f>+L1489-M1489-N1489+P1489</f>
        <v>48.78</v>
      </c>
      <c r="R1489" s="6"/>
      <c r="S1489" s="2">
        <v>41.73</v>
      </c>
      <c r="T1489" s="2">
        <v>1.63</v>
      </c>
      <c r="U1489" s="2"/>
      <c r="V1489" s="2"/>
      <c r="W1489" s="2"/>
      <c r="X1489" s="2">
        <f>+S1489+T1489-W1489</f>
        <v>43.36</v>
      </c>
      <c r="Y1489" s="6">
        <f>+Q1489-X1489</f>
        <v>5.4200000000000017</v>
      </c>
      <c r="Z1489" s="6">
        <f>+Y1489</f>
        <v>5.4200000000000017</v>
      </c>
      <c r="AA1489" s="6"/>
      <c r="AB1489" s="6"/>
      <c r="AC1489" s="6"/>
      <c r="AD1489" s="2"/>
      <c r="AE1489" s="2"/>
      <c r="AF1489" s="2"/>
      <c r="AG1489" s="2" t="s">
        <v>325</v>
      </c>
      <c r="AH1489" s="2" t="s">
        <v>324</v>
      </c>
      <c r="AI1489" s="2" t="s">
        <v>323</v>
      </c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</row>
    <row r="1490" spans="2:58">
      <c r="B1490" s="2"/>
      <c r="C1490" s="1">
        <v>43674</v>
      </c>
      <c r="E1490" s="2" t="s">
        <v>35</v>
      </c>
      <c r="F1490" s="2"/>
      <c r="G1490" s="2" t="s">
        <v>321</v>
      </c>
      <c r="H1490" s="2" t="s">
        <v>322</v>
      </c>
      <c r="I1490" s="2"/>
      <c r="J1490" s="2">
        <v>1</v>
      </c>
      <c r="K1490" s="2"/>
      <c r="L1490" s="3">
        <v>53.6</v>
      </c>
      <c r="M1490" s="6">
        <f t="shared" si="2448"/>
        <v>5.36</v>
      </c>
      <c r="N1490" s="6">
        <f t="shared" si="2449"/>
        <v>2.68</v>
      </c>
      <c r="O1490" s="7"/>
      <c r="P1490" s="3">
        <v>3.22</v>
      </c>
      <c r="Q1490" s="6">
        <f>+L1490-M1490-N1490+P1490</f>
        <v>48.78</v>
      </c>
      <c r="R1490" s="6"/>
      <c r="S1490" s="2">
        <v>36.47</v>
      </c>
      <c r="T1490" s="2">
        <v>2.19</v>
      </c>
      <c r="U1490" s="2"/>
      <c r="V1490" s="2"/>
      <c r="W1490" s="2"/>
      <c r="X1490" s="2">
        <f>+S1490+T1490-W1490</f>
        <v>38.659999999999997</v>
      </c>
      <c r="Y1490" s="6">
        <f>+Q1490-X1490</f>
        <v>10.120000000000005</v>
      </c>
      <c r="Z1490" s="6">
        <f>+Y1490</f>
        <v>10.120000000000005</v>
      </c>
      <c r="AA1490" s="6"/>
      <c r="AB1490" s="6"/>
      <c r="AC1490" s="6"/>
      <c r="AD1490" s="2"/>
      <c r="AE1490" s="2"/>
      <c r="AF1490" s="2"/>
      <c r="AG1490" s="2" t="s">
        <v>197</v>
      </c>
      <c r="AH1490" s="2" t="s">
        <v>320</v>
      </c>
      <c r="AI1490" s="2" t="s">
        <v>319</v>
      </c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</row>
    <row r="1491" spans="2:58">
      <c r="B1491" s="2"/>
      <c r="E1491" s="2"/>
      <c r="F1491" s="2"/>
      <c r="G1491" s="2"/>
      <c r="H1491" s="2"/>
      <c r="I1491" s="2"/>
      <c r="J1491" s="2"/>
      <c r="K1491" s="2"/>
      <c r="L1491" s="3"/>
      <c r="M1491" s="6" t="s">
        <v>16</v>
      </c>
      <c r="N1491" s="6" t="s">
        <v>16</v>
      </c>
      <c r="O1491" s="7"/>
      <c r="P1491" s="3"/>
      <c r="Q1491" s="6" t="s">
        <v>16</v>
      </c>
      <c r="R1491" s="6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</row>
    <row r="1492" spans="2:58">
      <c r="B1492" s="2">
        <v>5</v>
      </c>
      <c r="C1492" s="1">
        <v>43673</v>
      </c>
      <c r="E1492" s="2" t="s">
        <v>297</v>
      </c>
      <c r="F1492" s="2"/>
      <c r="G1492" s="2" t="s">
        <v>317</v>
      </c>
      <c r="H1492" s="2" t="s">
        <v>318</v>
      </c>
      <c r="I1492" s="2"/>
      <c r="J1492" s="2">
        <v>1</v>
      </c>
      <c r="K1492" s="2"/>
      <c r="L1492" s="3">
        <v>17.8</v>
      </c>
      <c r="M1492" s="6">
        <f t="shared" si="2448"/>
        <v>1.7800000000000002</v>
      </c>
      <c r="N1492" s="6">
        <v>1.1399999999999999</v>
      </c>
      <c r="O1492" s="7"/>
      <c r="P1492" s="3">
        <v>1.25</v>
      </c>
      <c r="Q1492" s="6">
        <f>+L1492-M1492-N1492+P1492</f>
        <v>16.13</v>
      </c>
      <c r="R1492" s="6"/>
      <c r="S1492" s="2">
        <v>10.49</v>
      </c>
      <c r="T1492" s="2">
        <v>0.76</v>
      </c>
      <c r="U1492" s="2"/>
      <c r="V1492" s="2"/>
      <c r="W1492" s="2"/>
      <c r="X1492" s="2">
        <f>+S1492+T1492-W1492</f>
        <v>11.25</v>
      </c>
      <c r="Y1492" s="6">
        <f>+Q1492-X1492</f>
        <v>4.879999999999999</v>
      </c>
      <c r="Z1492" s="2"/>
      <c r="AA1492" s="2"/>
      <c r="AB1492" s="2"/>
      <c r="AC1492" s="6">
        <f>+Y1492</f>
        <v>4.879999999999999</v>
      </c>
      <c r="AD1492" s="2"/>
      <c r="AE1492" s="2"/>
      <c r="AF1492" s="2"/>
      <c r="AG1492" s="2" t="s">
        <v>81</v>
      </c>
      <c r="AH1492" s="2" t="s">
        <v>316</v>
      </c>
      <c r="AI1492" s="2" t="s">
        <v>315</v>
      </c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</row>
    <row r="1493" spans="2:58">
      <c r="B1493" s="2"/>
      <c r="C1493" s="1">
        <v>43673</v>
      </c>
      <c r="E1493" s="2" t="s">
        <v>131</v>
      </c>
      <c r="F1493" s="2"/>
      <c r="G1493" s="2" t="s">
        <v>313</v>
      </c>
      <c r="H1493" s="2" t="s">
        <v>314</v>
      </c>
      <c r="I1493" s="2"/>
      <c r="J1493" s="2">
        <v>1</v>
      </c>
      <c r="K1493" s="2"/>
      <c r="L1493" s="3">
        <v>57</v>
      </c>
      <c r="M1493" s="6">
        <f t="shared" si="2448"/>
        <v>5.7</v>
      </c>
      <c r="N1493" s="6">
        <v>2.98</v>
      </c>
      <c r="O1493" s="7"/>
      <c r="P1493" s="3">
        <v>3.99</v>
      </c>
      <c r="Q1493" s="6">
        <f>+L1493-M1493-N1493+P1493</f>
        <v>52.31</v>
      </c>
      <c r="R1493" s="6"/>
      <c r="S1493" s="2">
        <v>54.39</v>
      </c>
      <c r="T1493" s="2">
        <v>4.3499999999999996</v>
      </c>
      <c r="U1493" s="2"/>
      <c r="V1493" s="2"/>
      <c r="W1493" s="2"/>
      <c r="X1493" s="2">
        <f>+S1493+T1493-W1493</f>
        <v>58.74</v>
      </c>
      <c r="Y1493" s="2">
        <f>+Q1493-X1493</f>
        <v>-6.43</v>
      </c>
      <c r="Z1493" s="2"/>
      <c r="AA1493" s="2"/>
      <c r="AB1493" s="2"/>
      <c r="AC1493" s="2"/>
      <c r="AD1493" s="2"/>
      <c r="AE1493" s="2">
        <f>+Y1493</f>
        <v>-6.43</v>
      </c>
      <c r="AF1493" s="2"/>
      <c r="AG1493" s="2" t="s">
        <v>128</v>
      </c>
      <c r="AH1493" s="2" t="s">
        <v>312</v>
      </c>
      <c r="AI1493" s="2" t="s">
        <v>311</v>
      </c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</row>
    <row r="1494" spans="2:58">
      <c r="B1494" s="2"/>
      <c r="C1494" s="1">
        <v>43673</v>
      </c>
      <c r="E1494" s="2" t="s">
        <v>35</v>
      </c>
      <c r="F1494" s="2"/>
      <c r="G1494" s="2" t="s">
        <v>309</v>
      </c>
      <c r="H1494" s="2" t="s">
        <v>310</v>
      </c>
      <c r="I1494" s="2"/>
      <c r="J1494" s="2">
        <v>1</v>
      </c>
      <c r="K1494" s="2" t="s">
        <v>258</v>
      </c>
      <c r="L1494" s="3">
        <v>53.6</v>
      </c>
      <c r="M1494" s="6">
        <f t="shared" si="2448"/>
        <v>5.36</v>
      </c>
      <c r="N1494" s="6">
        <f t="shared" si="2449"/>
        <v>2.68</v>
      </c>
      <c r="O1494" s="7"/>
      <c r="P1494" s="3">
        <v>4.42</v>
      </c>
      <c r="Q1494" s="6">
        <f>+L1494-M1494-N1494+P1494</f>
        <v>49.980000000000004</v>
      </c>
      <c r="R1494" s="6"/>
      <c r="S1494" s="2">
        <v>36.47</v>
      </c>
      <c r="T1494" s="2">
        <v>2.6</v>
      </c>
      <c r="U1494" s="2"/>
      <c r="V1494" s="2"/>
      <c r="W1494" s="2"/>
      <c r="X1494" s="2">
        <f>+S1494+T1494-W1494</f>
        <v>39.07</v>
      </c>
      <c r="Y1494" s="6">
        <f>+Q1494-X1494</f>
        <v>10.910000000000004</v>
      </c>
      <c r="Z1494" s="6">
        <f>+Y1494</f>
        <v>10.910000000000004</v>
      </c>
      <c r="AA1494" s="6"/>
      <c r="AB1494" s="6"/>
      <c r="AC1494" s="6"/>
      <c r="AD1494" s="2"/>
      <c r="AE1494" s="2"/>
      <c r="AF1494" s="2"/>
      <c r="AG1494" s="2" t="s">
        <v>112</v>
      </c>
      <c r="AH1494" s="2" t="s">
        <v>308</v>
      </c>
      <c r="AI1494" s="2" t="s">
        <v>307</v>
      </c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</row>
    <row r="1495" spans="2:58">
      <c r="B1495" s="2"/>
      <c r="C1495" s="1">
        <v>43673</v>
      </c>
      <c r="E1495" s="2" t="s">
        <v>35</v>
      </c>
      <c r="F1495" s="2"/>
      <c r="G1495" s="2" t="s">
        <v>305</v>
      </c>
      <c r="H1495" s="2" t="s">
        <v>306</v>
      </c>
      <c r="I1495" s="2"/>
      <c r="J1495" s="2">
        <v>1</v>
      </c>
      <c r="K1495" s="2"/>
      <c r="L1495" s="3">
        <v>53.6</v>
      </c>
      <c r="M1495" s="6">
        <f t="shared" si="2448"/>
        <v>5.36</v>
      </c>
      <c r="N1495" s="6">
        <f t="shared" si="2449"/>
        <v>2.68</v>
      </c>
      <c r="O1495" s="7"/>
      <c r="P1495" s="3"/>
      <c r="Q1495" s="6">
        <f>+L1495-M1495-N1495+P1495</f>
        <v>45.56</v>
      </c>
      <c r="R1495" s="6"/>
      <c r="S1495" s="2">
        <v>36.47</v>
      </c>
      <c r="T1495" s="2">
        <v>1.87</v>
      </c>
      <c r="U1495" s="2"/>
      <c r="V1495" s="2"/>
      <c r="W1495" s="2"/>
      <c r="X1495" s="2">
        <f>+S1495+T1495-W1495</f>
        <v>38.339999999999996</v>
      </c>
      <c r="Y1495" s="6">
        <f>+Q1495-X1495</f>
        <v>7.220000000000006</v>
      </c>
      <c r="Z1495" s="6">
        <f>+Y1495</f>
        <v>7.220000000000006</v>
      </c>
      <c r="AA1495" s="6"/>
      <c r="AB1495" s="6"/>
      <c r="AC1495" s="6"/>
      <c r="AD1495" s="2"/>
      <c r="AE1495" s="2"/>
      <c r="AF1495" s="2"/>
      <c r="AG1495" s="2" t="s">
        <v>304</v>
      </c>
      <c r="AH1495" s="2" t="s">
        <v>303</v>
      </c>
      <c r="AI1495" s="2" t="s">
        <v>302</v>
      </c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</row>
    <row r="1496" spans="2:58">
      <c r="B1496" s="2"/>
      <c r="C1496" s="1">
        <v>43673</v>
      </c>
      <c r="E1496" s="2" t="s">
        <v>297</v>
      </c>
      <c r="F1496" s="2"/>
      <c r="G1496" s="2" t="s">
        <v>300</v>
      </c>
      <c r="H1496" s="2" t="s">
        <v>301</v>
      </c>
      <c r="I1496" s="2"/>
      <c r="J1496" s="2">
        <v>1</v>
      </c>
      <c r="K1496" s="2"/>
      <c r="L1496" s="3">
        <v>17.7</v>
      </c>
      <c r="M1496" s="6">
        <f t="shared" si="2448"/>
        <v>1.77</v>
      </c>
      <c r="N1496" s="6">
        <v>1.1299999999999999</v>
      </c>
      <c r="O1496" s="7"/>
      <c r="P1496" s="3">
        <v>1.24</v>
      </c>
      <c r="Q1496" s="6">
        <f>+L1496-M1496-N1496+P1496</f>
        <v>16.04</v>
      </c>
      <c r="R1496" s="6"/>
      <c r="S1496" s="2">
        <v>10.49</v>
      </c>
      <c r="T1496" s="2">
        <v>0.73</v>
      </c>
      <c r="U1496" s="2"/>
      <c r="V1496" s="2"/>
      <c r="W1496" s="2"/>
      <c r="X1496" s="2">
        <f>+S1496+T1496-W1496</f>
        <v>11.22</v>
      </c>
      <c r="Y1496" s="6">
        <f>+Q1496-X1496</f>
        <v>4.8199999999999985</v>
      </c>
      <c r="Z1496" s="2"/>
      <c r="AA1496" s="2"/>
      <c r="AB1496" s="2"/>
      <c r="AC1496" s="6">
        <f>+Y1496</f>
        <v>4.8199999999999985</v>
      </c>
      <c r="AD1496" s="2"/>
      <c r="AE1496" s="2"/>
      <c r="AF1496" s="2"/>
      <c r="AG1496" s="2" t="s">
        <v>96</v>
      </c>
      <c r="AH1496" s="2" t="s">
        <v>299</v>
      </c>
      <c r="AI1496" s="2" t="s">
        <v>298</v>
      </c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</row>
    <row r="1497" spans="2:58" s="2" customFormat="1" ht="15">
      <c r="L1497" s="3"/>
      <c r="M1497" s="6" t="s">
        <v>16</v>
      </c>
      <c r="N1497" s="6" t="s">
        <v>16</v>
      </c>
      <c r="O1497" s="7"/>
      <c r="P1497" s="3"/>
      <c r="Q1497" s="6" t="s">
        <v>16</v>
      </c>
      <c r="R1497" s="6"/>
    </row>
    <row r="1498" spans="2:58" s="2" customFormat="1" ht="15">
      <c r="B1498" s="2">
        <v>2</v>
      </c>
      <c r="C1498" s="1">
        <v>43672</v>
      </c>
      <c r="E1498" s="2" t="s">
        <v>35</v>
      </c>
      <c r="G1498" s="2" t="s">
        <v>295</v>
      </c>
      <c r="H1498" s="2" t="s">
        <v>296</v>
      </c>
      <c r="J1498" s="2">
        <v>1</v>
      </c>
      <c r="L1498" s="3">
        <v>53.6</v>
      </c>
      <c r="M1498" s="6">
        <f t="shared" si="2448"/>
        <v>5.36</v>
      </c>
      <c r="N1498" s="6">
        <f t="shared" si="2449"/>
        <v>2.68</v>
      </c>
      <c r="O1498" s="7"/>
      <c r="P1498" s="3"/>
      <c r="Q1498" s="6">
        <f>+L1498-M1498-N1498+P1498</f>
        <v>45.56</v>
      </c>
      <c r="R1498" s="6"/>
      <c r="S1498" s="2">
        <v>36.47</v>
      </c>
      <c r="T1498" s="2">
        <v>3.25</v>
      </c>
      <c r="X1498" s="2">
        <f>+S1498+T1498-W1498</f>
        <v>39.72</v>
      </c>
      <c r="Y1498" s="6">
        <f>+Q1498-X1498</f>
        <v>5.8400000000000034</v>
      </c>
      <c r="Z1498" s="6">
        <f>+Y1498</f>
        <v>5.8400000000000034</v>
      </c>
      <c r="AA1498" s="6"/>
      <c r="AB1498" s="6"/>
      <c r="AC1498" s="6"/>
      <c r="AG1498" s="2" t="s">
        <v>64</v>
      </c>
      <c r="AH1498" s="2" t="s">
        <v>294</v>
      </c>
      <c r="AI1498" s="2" t="s">
        <v>293</v>
      </c>
    </row>
    <row r="1499" spans="2:58" s="2" customFormat="1" ht="15">
      <c r="C1499" s="1">
        <v>43672</v>
      </c>
      <c r="E1499" s="2" t="s">
        <v>62</v>
      </c>
      <c r="G1499" s="2" t="s">
        <v>291</v>
      </c>
      <c r="H1499" s="2" t="s">
        <v>292</v>
      </c>
      <c r="J1499" s="2">
        <v>1</v>
      </c>
      <c r="L1499" s="3">
        <v>53.4</v>
      </c>
      <c r="M1499" s="6">
        <f t="shared" si="2448"/>
        <v>5.34</v>
      </c>
      <c r="N1499" s="6">
        <f t="shared" si="2449"/>
        <v>2.67</v>
      </c>
      <c r="O1499" s="7"/>
      <c r="P1499" s="3">
        <v>4.41</v>
      </c>
      <c r="Q1499" s="6">
        <f>+L1499-M1499-N1499+P1499</f>
        <v>49.8</v>
      </c>
      <c r="R1499" s="6"/>
      <c r="S1499" s="2">
        <v>39.99</v>
      </c>
      <c r="T1499" s="2">
        <v>2.2999999999999998</v>
      </c>
      <c r="X1499" s="2">
        <f>+S1499+T1499-W1499</f>
        <v>42.29</v>
      </c>
      <c r="Y1499" s="6">
        <f>+Q1499-X1499</f>
        <v>7.509999999999998</v>
      </c>
      <c r="AB1499" s="6">
        <f>+Y1499</f>
        <v>7.509999999999998</v>
      </c>
      <c r="AC1499" s="6"/>
      <c r="AG1499" s="2" t="s">
        <v>112</v>
      </c>
      <c r="AH1499" s="2" t="s">
        <v>290</v>
      </c>
      <c r="AI1499" s="2" t="s">
        <v>289</v>
      </c>
    </row>
    <row r="1500" spans="2:58" s="2" customFormat="1" ht="15">
      <c r="L1500" s="3"/>
      <c r="M1500" s="6" t="s">
        <v>16</v>
      </c>
      <c r="N1500" s="6" t="s">
        <v>16</v>
      </c>
      <c r="O1500" s="7"/>
      <c r="P1500" s="3"/>
      <c r="Q1500" s="6" t="s">
        <v>16</v>
      </c>
      <c r="R1500" s="6"/>
    </row>
    <row r="1501" spans="2:58" s="2" customFormat="1" ht="15">
      <c r="B1501" s="2">
        <v>5</v>
      </c>
      <c r="C1501" s="1">
        <v>43671</v>
      </c>
      <c r="E1501" s="2" t="s">
        <v>35</v>
      </c>
      <c r="G1501" s="2" t="s">
        <v>287</v>
      </c>
      <c r="H1501" s="2" t="s">
        <v>288</v>
      </c>
      <c r="J1501" s="2">
        <v>1</v>
      </c>
      <c r="L1501" s="3">
        <v>53.85</v>
      </c>
      <c r="M1501" s="6">
        <f t="shared" si="2448"/>
        <v>5.3850000000000007</v>
      </c>
      <c r="N1501" s="6">
        <f t="shared" si="2449"/>
        <v>2.6925000000000003</v>
      </c>
      <c r="O1501" s="7"/>
      <c r="P1501" s="3"/>
      <c r="Q1501" s="6">
        <f>+L1501-M1501-N1501+P1501</f>
        <v>45.772500000000001</v>
      </c>
      <c r="R1501" s="6"/>
      <c r="S1501" s="2">
        <v>40.98</v>
      </c>
      <c r="T1501" s="2">
        <v>2.87</v>
      </c>
      <c r="X1501" s="2">
        <f>+S1501+T1501-W1501</f>
        <v>43.849999999999994</v>
      </c>
      <c r="Y1501" s="6">
        <f>+Q1501-X1501</f>
        <v>1.9225000000000065</v>
      </c>
      <c r="Z1501" s="6">
        <f>+Y1501</f>
        <v>1.9225000000000065</v>
      </c>
      <c r="AA1501" s="6"/>
      <c r="AB1501" s="6"/>
      <c r="AC1501" s="6"/>
      <c r="AG1501" s="2" t="s">
        <v>70</v>
      </c>
      <c r="AH1501" s="2" t="s">
        <v>286</v>
      </c>
      <c r="AI1501" s="2" t="s">
        <v>285</v>
      </c>
    </row>
    <row r="1502" spans="2:58" s="2" customFormat="1" ht="15">
      <c r="C1502" s="1">
        <v>43671</v>
      </c>
      <c r="E1502" s="2" t="s">
        <v>35</v>
      </c>
      <c r="G1502" s="2" t="s">
        <v>283</v>
      </c>
      <c r="H1502" s="2" t="s">
        <v>284</v>
      </c>
      <c r="J1502" s="2">
        <v>1</v>
      </c>
      <c r="K1502" s="2" t="s">
        <v>258</v>
      </c>
      <c r="L1502" s="3">
        <v>53.85</v>
      </c>
      <c r="M1502" s="6">
        <f t="shared" si="2448"/>
        <v>5.3850000000000007</v>
      </c>
      <c r="N1502" s="6">
        <f t="shared" si="2449"/>
        <v>2.6925000000000003</v>
      </c>
      <c r="O1502" s="7"/>
      <c r="P1502" s="3">
        <v>3.77</v>
      </c>
      <c r="Q1502" s="6">
        <f>+L1502-M1502-N1502+P1502</f>
        <v>49.542500000000004</v>
      </c>
      <c r="R1502" s="6"/>
      <c r="S1502" s="2">
        <v>36.46</v>
      </c>
      <c r="T1502" s="2">
        <v>2.46</v>
      </c>
      <c r="X1502" s="2">
        <f>+S1502+T1502-W1502</f>
        <v>38.92</v>
      </c>
      <c r="Y1502" s="6">
        <f>+Q1502-X1502</f>
        <v>10.622500000000002</v>
      </c>
      <c r="Z1502" s="6">
        <f>+Y1502</f>
        <v>10.622500000000002</v>
      </c>
      <c r="AA1502" s="6"/>
      <c r="AB1502" s="6"/>
      <c r="AC1502" s="6"/>
      <c r="AG1502" s="2" t="s">
        <v>233</v>
      </c>
      <c r="AH1502" s="2" t="s">
        <v>282</v>
      </c>
      <c r="AI1502" s="2" t="s">
        <v>281</v>
      </c>
    </row>
    <row r="1503" spans="2:58" s="2" customFormat="1" ht="15">
      <c r="C1503" s="1">
        <v>43671</v>
      </c>
      <c r="E1503" s="2" t="s">
        <v>35</v>
      </c>
      <c r="G1503" s="2" t="s">
        <v>279</v>
      </c>
      <c r="H1503" s="2" t="s">
        <v>280</v>
      </c>
      <c r="J1503" s="2">
        <v>1</v>
      </c>
      <c r="L1503" s="3">
        <v>53.8</v>
      </c>
      <c r="M1503" s="6">
        <f t="shared" si="2448"/>
        <v>5.38</v>
      </c>
      <c r="N1503" s="6">
        <f t="shared" si="2449"/>
        <v>2.69</v>
      </c>
      <c r="O1503" s="7"/>
      <c r="P1503" s="3">
        <v>3.77</v>
      </c>
      <c r="Q1503" s="6">
        <f>+L1503-M1503-N1503+P1503</f>
        <v>49.5</v>
      </c>
      <c r="R1503" s="6"/>
      <c r="S1503" s="2">
        <v>40.98</v>
      </c>
      <c r="T1503" s="2">
        <v>2.66</v>
      </c>
      <c r="X1503" s="2">
        <f>+S1503+T1503-W1503</f>
        <v>43.64</v>
      </c>
      <c r="Y1503" s="6">
        <f>+Q1503-X1503</f>
        <v>5.8599999999999994</v>
      </c>
      <c r="Z1503" s="6">
        <f>+Y1503</f>
        <v>5.8599999999999994</v>
      </c>
      <c r="AA1503" s="6"/>
      <c r="AB1503" s="6"/>
      <c r="AC1503" s="6"/>
      <c r="AG1503" s="2" t="s">
        <v>81</v>
      </c>
      <c r="AH1503" s="2" t="s">
        <v>278</v>
      </c>
      <c r="AI1503" s="2" t="s">
        <v>277</v>
      </c>
    </row>
    <row r="1504" spans="2:58" s="2" customFormat="1" ht="15">
      <c r="C1504" s="1">
        <v>43671</v>
      </c>
      <c r="E1504" s="2" t="s">
        <v>178</v>
      </c>
      <c r="G1504" s="2" t="s">
        <v>275</v>
      </c>
      <c r="H1504" s="2" t="s">
        <v>276</v>
      </c>
      <c r="J1504" s="2">
        <v>1</v>
      </c>
      <c r="L1504" s="3">
        <v>37.5</v>
      </c>
      <c r="M1504" s="6">
        <f t="shared" si="2448"/>
        <v>3.75</v>
      </c>
      <c r="N1504" s="6">
        <v>1.95</v>
      </c>
      <c r="O1504" s="7"/>
      <c r="P1504" s="3"/>
      <c r="Q1504" s="6">
        <f>+L1504-M1504-N1504+P1504</f>
        <v>31.8</v>
      </c>
      <c r="R1504" s="6"/>
      <c r="S1504" s="2">
        <v>14.98</v>
      </c>
      <c r="X1504" s="2">
        <f>+S1504+T1504-W1504</f>
        <v>14.98</v>
      </c>
      <c r="Y1504" s="6">
        <f>+Q1504-X1504</f>
        <v>16.82</v>
      </c>
      <c r="AD1504" s="6">
        <f>+Y1504</f>
        <v>16.82</v>
      </c>
      <c r="AG1504" s="2" t="s">
        <v>274</v>
      </c>
      <c r="AH1504" s="2" t="s">
        <v>273</v>
      </c>
      <c r="AI1504" s="2" t="s">
        <v>272</v>
      </c>
    </row>
    <row r="1505" spans="2:58" s="2" customFormat="1" ht="15">
      <c r="C1505" s="1">
        <v>43671</v>
      </c>
      <c r="E1505" s="2" t="s">
        <v>35</v>
      </c>
      <c r="G1505" s="2" t="s">
        <v>270</v>
      </c>
      <c r="H1505" s="2" t="s">
        <v>271</v>
      </c>
      <c r="J1505" s="2">
        <v>1</v>
      </c>
      <c r="L1505" s="3">
        <v>53.8</v>
      </c>
      <c r="M1505" s="6">
        <f t="shared" si="2448"/>
        <v>5.38</v>
      </c>
      <c r="N1505" s="6">
        <f t="shared" si="2449"/>
        <v>2.69</v>
      </c>
      <c r="O1505" s="7"/>
      <c r="P1505" s="3">
        <v>4.84</v>
      </c>
      <c r="Q1505" s="6">
        <f>+L1505-M1505-N1505+P1505</f>
        <v>50.569999999999993</v>
      </c>
      <c r="R1505" s="6"/>
      <c r="S1505" s="2">
        <v>40.98</v>
      </c>
      <c r="T1505" s="2">
        <v>3.38</v>
      </c>
      <c r="X1505" s="2">
        <f>+S1505+T1505-W1505</f>
        <v>44.36</v>
      </c>
      <c r="Y1505" s="6">
        <f>+Q1505-X1505</f>
        <v>6.2099999999999937</v>
      </c>
      <c r="Z1505" s="6">
        <f>+Y1505</f>
        <v>6.2099999999999937</v>
      </c>
      <c r="AA1505" s="6"/>
      <c r="AB1505" s="6"/>
      <c r="AC1505" s="6"/>
      <c r="AG1505" s="2" t="s">
        <v>15</v>
      </c>
      <c r="AH1505" s="2" t="s">
        <v>269</v>
      </c>
      <c r="AI1505" s="2" t="s">
        <v>268</v>
      </c>
    </row>
    <row r="1506" spans="2:58" s="2" customFormat="1" ht="15">
      <c r="L1506" s="3"/>
      <c r="M1506" s="6" t="s">
        <v>16</v>
      </c>
      <c r="N1506" s="6" t="s">
        <v>16</v>
      </c>
      <c r="O1506" s="7"/>
      <c r="P1506" s="3"/>
      <c r="Q1506" s="6" t="s">
        <v>16</v>
      </c>
      <c r="R1506" s="6"/>
    </row>
    <row r="1507" spans="2:58" s="2" customFormat="1" ht="15">
      <c r="B1507" s="2">
        <v>1</v>
      </c>
      <c r="C1507" s="1">
        <v>43670</v>
      </c>
      <c r="E1507" s="2" t="s">
        <v>263</v>
      </c>
      <c r="G1507" s="2" t="s">
        <v>266</v>
      </c>
      <c r="H1507" s="2" t="s">
        <v>267</v>
      </c>
      <c r="J1507" s="2">
        <v>1</v>
      </c>
      <c r="L1507" s="3">
        <v>82</v>
      </c>
      <c r="M1507" s="6">
        <f t="shared" si="2448"/>
        <v>8.2000000000000011</v>
      </c>
      <c r="N1507" s="6">
        <f t="shared" si="2449"/>
        <v>4.1000000000000005</v>
      </c>
      <c r="O1507" s="7"/>
      <c r="P1507" s="3"/>
      <c r="Q1507" s="6">
        <f>+L1507-M1507-N1507+P1507</f>
        <v>69.7</v>
      </c>
      <c r="R1507" s="6"/>
      <c r="S1507" s="2">
        <v>64.95</v>
      </c>
      <c r="T1507" s="2">
        <v>3.9</v>
      </c>
      <c r="X1507" s="2">
        <f>+S1507+T1507-W1507</f>
        <v>68.850000000000009</v>
      </c>
      <c r="Y1507" s="6">
        <f>+Q1507-X1507</f>
        <v>0.84999999999999432</v>
      </c>
      <c r="AA1507" s="6">
        <f>+Y1507</f>
        <v>0.84999999999999432</v>
      </c>
      <c r="AB1507" s="6"/>
      <c r="AC1507" s="6"/>
      <c r="AG1507" s="2" t="s">
        <v>100</v>
      </c>
      <c r="AH1507" s="2" t="s">
        <v>265</v>
      </c>
      <c r="AI1507" s="2" t="s">
        <v>264</v>
      </c>
    </row>
    <row r="1508" spans="2:58" s="2" customFormat="1" ht="15">
      <c r="H1508" s="2" t="s">
        <v>16</v>
      </c>
      <c r="L1508" s="3"/>
      <c r="M1508" s="6" t="s">
        <v>16</v>
      </c>
      <c r="N1508" s="6" t="s">
        <v>16</v>
      </c>
      <c r="O1508" s="7"/>
      <c r="P1508" s="3"/>
      <c r="Q1508" s="6" t="s">
        <v>16</v>
      </c>
      <c r="R1508" s="6"/>
    </row>
    <row r="1509" spans="2:58">
      <c r="B1509" s="2">
        <v>3</v>
      </c>
      <c r="C1509" s="1">
        <v>43669</v>
      </c>
      <c r="E1509" s="2" t="s">
        <v>35</v>
      </c>
      <c r="F1509" s="2"/>
      <c r="G1509" s="13" t="s">
        <v>261</v>
      </c>
      <c r="H1509" s="2" t="s">
        <v>262</v>
      </c>
      <c r="I1509" s="2"/>
      <c r="J1509" s="2">
        <v>1</v>
      </c>
      <c r="K1509" s="2" t="s">
        <v>258</v>
      </c>
      <c r="L1509" s="3">
        <v>52.8</v>
      </c>
      <c r="M1509" s="6">
        <f t="shared" si="2448"/>
        <v>5.28</v>
      </c>
      <c r="N1509" s="6">
        <f t="shared" si="2449"/>
        <v>2.64</v>
      </c>
      <c r="O1509" s="7"/>
      <c r="P1509" s="3">
        <v>4.3600000000000003</v>
      </c>
      <c r="Q1509" s="6">
        <f>+L1509-M1509-N1509+P1509</f>
        <v>49.239999999999995</v>
      </c>
      <c r="R1509" s="6"/>
      <c r="S1509" s="2">
        <v>40.98</v>
      </c>
      <c r="T1509" s="2">
        <v>3.28</v>
      </c>
      <c r="U1509" s="2"/>
      <c r="V1509" s="2"/>
      <c r="W1509" s="2"/>
      <c r="X1509" s="2">
        <f>+S1509+T1509-W1509</f>
        <v>44.26</v>
      </c>
      <c r="Y1509" s="6">
        <f>+Q1509-X1509</f>
        <v>4.9799999999999969</v>
      </c>
      <c r="Z1509" s="6">
        <f>+Y1509</f>
        <v>4.9799999999999969</v>
      </c>
      <c r="AA1509" s="6"/>
      <c r="AB1509" s="6"/>
      <c r="AC1509" s="6"/>
      <c r="AD1509" s="2"/>
      <c r="AE1509" s="2"/>
      <c r="AF1509" s="2"/>
      <c r="AG1509" s="2" t="s">
        <v>112</v>
      </c>
      <c r="AH1509" s="2" t="s">
        <v>260</v>
      </c>
      <c r="AI1509" s="2" t="s">
        <v>259</v>
      </c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</row>
    <row r="1510" spans="2:58">
      <c r="B1510" s="2"/>
      <c r="C1510" s="1">
        <v>43669</v>
      </c>
      <c r="E1510" s="2" t="s">
        <v>35</v>
      </c>
      <c r="F1510" s="2"/>
      <c r="G1510" s="2" t="s">
        <v>256</v>
      </c>
      <c r="H1510" s="2" t="s">
        <v>257</v>
      </c>
      <c r="I1510" s="2"/>
      <c r="J1510" s="2">
        <v>1</v>
      </c>
      <c r="K1510" s="2" t="s">
        <v>16</v>
      </c>
      <c r="L1510" s="3">
        <v>52.8</v>
      </c>
      <c r="M1510" s="6">
        <f t="shared" si="2448"/>
        <v>5.28</v>
      </c>
      <c r="N1510" s="6">
        <f t="shared" si="2449"/>
        <v>2.64</v>
      </c>
      <c r="O1510" s="7"/>
      <c r="P1510" s="3">
        <v>3.7</v>
      </c>
      <c r="Q1510" s="6">
        <f>+L1510-M1510-N1510+P1510</f>
        <v>48.58</v>
      </c>
      <c r="R1510" s="6"/>
      <c r="S1510" s="2">
        <v>40.98</v>
      </c>
      <c r="T1510" s="2">
        <v>3.07</v>
      </c>
      <c r="U1510" s="2"/>
      <c r="V1510" s="2"/>
      <c r="W1510" s="2"/>
      <c r="X1510" s="2">
        <f>+S1510+T1510-W1510</f>
        <v>44.05</v>
      </c>
      <c r="Y1510" s="6">
        <f>+Q1510-X1510</f>
        <v>4.5300000000000011</v>
      </c>
      <c r="Z1510" s="6">
        <f>+Y1510</f>
        <v>4.5300000000000011</v>
      </c>
      <c r="AA1510" s="6"/>
      <c r="AB1510" s="6"/>
      <c r="AC1510" s="6"/>
      <c r="AD1510" s="2"/>
      <c r="AE1510" s="2"/>
      <c r="AF1510" s="2"/>
      <c r="AG1510" s="2" t="s">
        <v>255</v>
      </c>
      <c r="AH1510" s="2" t="s">
        <v>254</v>
      </c>
      <c r="AI1510" s="2" t="s">
        <v>253</v>
      </c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</row>
    <row r="1511" spans="2:58">
      <c r="B1511" s="2"/>
      <c r="C1511" s="1">
        <v>43669</v>
      </c>
      <c r="E1511" s="2" t="s">
        <v>35</v>
      </c>
      <c r="F1511" s="2"/>
      <c r="G1511" s="2" t="s">
        <v>251</v>
      </c>
      <c r="H1511" s="2" t="s">
        <v>252</v>
      </c>
      <c r="I1511" s="2"/>
      <c r="J1511" s="2">
        <v>1</v>
      </c>
      <c r="K1511" s="2"/>
      <c r="L1511" s="3">
        <v>52.8</v>
      </c>
      <c r="M1511" s="6">
        <f t="shared" si="2448"/>
        <v>5.28</v>
      </c>
      <c r="N1511" s="6">
        <f t="shared" si="2449"/>
        <v>2.64</v>
      </c>
      <c r="O1511" s="7"/>
      <c r="P1511" s="3"/>
      <c r="Q1511" s="6">
        <f>+L1511-M1511-N1511+P1511</f>
        <v>44.879999999999995</v>
      </c>
      <c r="R1511" s="6"/>
      <c r="S1511" s="2">
        <v>40.98</v>
      </c>
      <c r="T1511" s="2">
        <v>2.46</v>
      </c>
      <c r="U1511" s="2"/>
      <c r="V1511" s="2"/>
      <c r="W1511" s="2"/>
      <c r="X1511" s="2">
        <f>+S1511+T1511-W1511</f>
        <v>43.44</v>
      </c>
      <c r="Y1511" s="6">
        <f>+Q1511-X1511</f>
        <v>1.4399999999999977</v>
      </c>
      <c r="Z1511" s="6">
        <f>+Y1511</f>
        <v>1.4399999999999977</v>
      </c>
      <c r="AA1511" s="6"/>
      <c r="AB1511" s="6"/>
      <c r="AC1511" s="6"/>
      <c r="AD1511" s="2"/>
      <c r="AE1511" s="2"/>
      <c r="AF1511" s="2"/>
      <c r="AG1511" s="2" t="s">
        <v>100</v>
      </c>
      <c r="AH1511" s="2" t="s">
        <v>250</v>
      </c>
      <c r="AI1511" s="2" t="s">
        <v>249</v>
      </c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</row>
    <row r="1512" spans="2:58">
      <c r="B1512" s="2"/>
      <c r="E1512" s="2"/>
      <c r="F1512" s="2"/>
      <c r="G1512" s="2"/>
      <c r="H1512" s="2"/>
      <c r="I1512" s="2"/>
      <c r="J1512" s="2"/>
      <c r="K1512" s="2"/>
      <c r="L1512" s="3"/>
      <c r="M1512" s="6" t="s">
        <v>16</v>
      </c>
      <c r="N1512" s="6" t="s">
        <v>16</v>
      </c>
      <c r="O1512" s="7"/>
      <c r="P1512" s="3"/>
      <c r="Q1512" s="6" t="s">
        <v>16</v>
      </c>
      <c r="R1512" s="6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</row>
    <row r="1513" spans="2:58">
      <c r="B1513" s="2">
        <v>2</v>
      </c>
      <c r="C1513" s="1">
        <v>43668</v>
      </c>
      <c r="E1513" s="2" t="s">
        <v>217</v>
      </c>
      <c r="F1513" s="2"/>
      <c r="G1513" s="13" t="s">
        <v>246</v>
      </c>
      <c r="H1513" s="2" t="s">
        <v>247</v>
      </c>
      <c r="I1513" s="2"/>
      <c r="J1513" s="2">
        <v>1</v>
      </c>
      <c r="K1513" s="2"/>
      <c r="L1513" s="3">
        <v>21.6</v>
      </c>
      <c r="M1513" s="6">
        <f t="shared" si="2448"/>
        <v>2.16</v>
      </c>
      <c r="N1513" s="6">
        <v>1.31</v>
      </c>
      <c r="O1513" s="7"/>
      <c r="P1513" s="3">
        <v>1.3</v>
      </c>
      <c r="Q1513" s="6">
        <f>+L1513-M1513-N1513+P1513</f>
        <v>19.430000000000003</v>
      </c>
      <c r="R1513" s="6"/>
      <c r="S1513" s="2">
        <v>13.99</v>
      </c>
      <c r="T1513" s="2">
        <v>0.84</v>
      </c>
      <c r="U1513" s="2"/>
      <c r="V1513" s="2"/>
      <c r="W1513" s="2"/>
      <c r="X1513" s="2">
        <f>+S1513+T1513-W1513</f>
        <v>14.83</v>
      </c>
      <c r="Y1513" s="6">
        <f>+Q1513-X1513</f>
        <v>4.6000000000000032</v>
      </c>
      <c r="Z1513" s="2"/>
      <c r="AA1513" s="2"/>
      <c r="AB1513" s="2"/>
      <c r="AC1513" s="2"/>
      <c r="AD1513" s="2"/>
      <c r="AE1513" s="6">
        <f>+Y1513</f>
        <v>4.6000000000000032</v>
      </c>
      <c r="AF1513" s="6"/>
      <c r="AG1513" s="2" t="s">
        <v>197</v>
      </c>
      <c r="AH1513" s="2" t="s">
        <v>248</v>
      </c>
      <c r="AI1513" s="2" t="s">
        <v>245</v>
      </c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</row>
    <row r="1514" spans="2:58">
      <c r="B1514" s="2"/>
      <c r="C1514" s="1">
        <v>43668</v>
      </c>
      <c r="E1514" s="2" t="s">
        <v>240</v>
      </c>
      <c r="F1514" s="2"/>
      <c r="G1514" s="2" t="s">
        <v>243</v>
      </c>
      <c r="H1514" s="2" t="s">
        <v>244</v>
      </c>
      <c r="I1514" s="2"/>
      <c r="J1514" s="2">
        <v>1</v>
      </c>
      <c r="K1514" s="2"/>
      <c r="L1514" s="3">
        <v>83.5</v>
      </c>
      <c r="M1514" s="6">
        <f t="shared" si="2448"/>
        <v>8.35</v>
      </c>
      <c r="N1514" s="6">
        <f t="shared" si="2449"/>
        <v>4.1749999999999998</v>
      </c>
      <c r="O1514" s="7"/>
      <c r="P1514" s="3">
        <v>7.52</v>
      </c>
      <c r="Q1514" s="6">
        <f>+L1514-M1514-N1514+P1514</f>
        <v>78.495000000000005</v>
      </c>
      <c r="R1514" s="6"/>
      <c r="S1514" s="2">
        <v>65.19</v>
      </c>
      <c r="T1514" s="2"/>
      <c r="U1514" s="2"/>
      <c r="V1514" s="2"/>
      <c r="W1514" s="2">
        <v>6.52</v>
      </c>
      <c r="X1514" s="2">
        <f>+S1514+T1514-W1514</f>
        <v>58.67</v>
      </c>
      <c r="Y1514" s="6">
        <f>+Q1514-X1514</f>
        <v>19.825000000000003</v>
      </c>
      <c r="Z1514" s="2"/>
      <c r="AA1514" s="6">
        <f>+Y1514</f>
        <v>19.825000000000003</v>
      </c>
      <c r="AB1514" s="6"/>
      <c r="AC1514" s="6"/>
      <c r="AD1514" s="2"/>
      <c r="AE1514" s="2"/>
      <c r="AF1514" s="2"/>
      <c r="AG1514" s="2" t="s">
        <v>15</v>
      </c>
      <c r="AH1514" s="2" t="s">
        <v>242</v>
      </c>
      <c r="AI1514" s="2" t="s">
        <v>241</v>
      </c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</row>
    <row r="1515" spans="2:58">
      <c r="B1515" s="2"/>
      <c r="E1515" s="2"/>
      <c r="F1515" s="2"/>
      <c r="G1515" s="2"/>
      <c r="H1515" s="2"/>
      <c r="I1515" s="2"/>
      <c r="J1515" s="2"/>
      <c r="K1515" s="2"/>
      <c r="L1515" s="3"/>
      <c r="M1515" s="6" t="s">
        <v>16</v>
      </c>
      <c r="N1515" s="6" t="s">
        <v>16</v>
      </c>
      <c r="O1515" s="7"/>
      <c r="P1515" s="3"/>
      <c r="Q1515" s="6" t="s">
        <v>16</v>
      </c>
      <c r="R1515" s="6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</row>
    <row r="1516" spans="2:58">
      <c r="B1516" s="2">
        <v>2</v>
      </c>
      <c r="C1516" s="1">
        <v>43667</v>
      </c>
      <c r="E1516" s="2" t="s">
        <v>35</v>
      </c>
      <c r="F1516" s="2"/>
      <c r="G1516" s="2" t="s">
        <v>238</v>
      </c>
      <c r="H1516" s="2" t="s">
        <v>239</v>
      </c>
      <c r="I1516" s="2"/>
      <c r="J1516" s="2">
        <v>1</v>
      </c>
      <c r="K1516" s="2" t="s">
        <v>258</v>
      </c>
      <c r="L1516" s="3">
        <v>52.8</v>
      </c>
      <c r="M1516" s="6">
        <f t="shared" si="2448"/>
        <v>5.28</v>
      </c>
      <c r="N1516" s="6">
        <f t="shared" si="2449"/>
        <v>2.64</v>
      </c>
      <c r="O1516" s="7"/>
      <c r="P1516" s="3">
        <v>4.75</v>
      </c>
      <c r="Q1516" s="6">
        <f>+L1516-M1516-N1516+P1516</f>
        <v>49.629999999999995</v>
      </c>
      <c r="R1516" s="6"/>
      <c r="S1516" s="2">
        <v>40.76</v>
      </c>
      <c r="T1516" s="2">
        <v>3.77</v>
      </c>
      <c r="U1516" s="2"/>
      <c r="V1516" s="2"/>
      <c r="W1516" s="2"/>
      <c r="X1516" s="2">
        <f>+S1516+T1516-W1516</f>
        <v>44.53</v>
      </c>
      <c r="Y1516" s="6">
        <f>+Q1516-X1516</f>
        <v>5.0999999999999943</v>
      </c>
      <c r="Z1516" s="6">
        <f>+Y1516</f>
        <v>5.0999999999999943</v>
      </c>
      <c r="AA1516" s="6"/>
      <c r="AB1516" s="6">
        <f>+Y1516</f>
        <v>5.0999999999999943</v>
      </c>
      <c r="AC1516" s="6"/>
      <c r="AD1516" s="2"/>
      <c r="AE1516" s="2"/>
      <c r="AF1516" s="2"/>
      <c r="AG1516" s="2" t="s">
        <v>15</v>
      </c>
      <c r="AH1516" s="2" t="s">
        <v>237</v>
      </c>
      <c r="AI1516" s="2" t="s">
        <v>236</v>
      </c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</row>
    <row r="1517" spans="2:58">
      <c r="B1517" s="2"/>
      <c r="C1517" s="1">
        <v>43667</v>
      </c>
      <c r="E1517" s="2" t="s">
        <v>61</v>
      </c>
      <c r="F1517" s="2"/>
      <c r="G1517" s="2" t="s">
        <v>234</v>
      </c>
      <c r="H1517" s="2" t="s">
        <v>235</v>
      </c>
      <c r="I1517" s="2"/>
      <c r="J1517" s="2">
        <v>1</v>
      </c>
      <c r="K1517" s="2"/>
      <c r="L1517" s="3">
        <v>28.7</v>
      </c>
      <c r="M1517" s="6">
        <f t="shared" si="2448"/>
        <v>2.87</v>
      </c>
      <c r="N1517" s="6">
        <f t="shared" si="2449"/>
        <v>1.4350000000000001</v>
      </c>
      <c r="O1517" s="7"/>
      <c r="P1517" s="3">
        <v>2.0099999999999998</v>
      </c>
      <c r="Q1517" s="6">
        <f>+L1517-M1517-N1517+P1517</f>
        <v>26.405000000000001</v>
      </c>
      <c r="R1517" s="6"/>
      <c r="S1517" s="2">
        <v>19</v>
      </c>
      <c r="T1517" s="2">
        <v>1.95</v>
      </c>
      <c r="U1517" s="2"/>
      <c r="V1517" s="2"/>
      <c r="W1517" s="2"/>
      <c r="X1517" s="2">
        <f>+S1517+T1517-W1517</f>
        <v>20.95</v>
      </c>
      <c r="Y1517" s="6">
        <f>+Q1517-X1517</f>
        <v>5.4550000000000018</v>
      </c>
      <c r="Z1517" s="2"/>
      <c r="AA1517" s="2"/>
      <c r="AB1517" s="2"/>
      <c r="AC1517" s="2"/>
      <c r="AD1517" s="2"/>
      <c r="AE1517" s="2"/>
      <c r="AF1517" s="2"/>
      <c r="AG1517" s="2" t="s">
        <v>233</v>
      </c>
      <c r="AH1517" s="2" t="s">
        <v>232</v>
      </c>
      <c r="AI1517" s="2" t="s">
        <v>231</v>
      </c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</row>
    <row r="1518" spans="2:58">
      <c r="B1518" s="2"/>
      <c r="E1518" s="2"/>
      <c r="F1518" s="2"/>
      <c r="G1518" s="2"/>
      <c r="H1518" s="2"/>
      <c r="I1518" s="2"/>
      <c r="J1518" s="2"/>
      <c r="K1518" s="2"/>
      <c r="L1518" s="3"/>
      <c r="M1518" s="6" t="s">
        <v>16</v>
      </c>
      <c r="N1518" s="6" t="s">
        <v>16</v>
      </c>
      <c r="O1518" s="7"/>
      <c r="P1518" s="3"/>
      <c r="Q1518" s="6" t="s">
        <v>16</v>
      </c>
      <c r="R1518" s="6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</row>
    <row r="1519" spans="2:58">
      <c r="B1519" s="2">
        <v>3</v>
      </c>
      <c r="C1519" s="1">
        <v>43666</v>
      </c>
      <c r="E1519" s="2" t="s">
        <v>60</v>
      </c>
      <c r="F1519" s="2"/>
      <c r="G1519" s="2" t="s">
        <v>229</v>
      </c>
      <c r="H1519" s="2" t="s">
        <v>230</v>
      </c>
      <c r="I1519" s="2"/>
      <c r="J1519" s="2">
        <v>1</v>
      </c>
      <c r="K1519" s="2"/>
      <c r="L1519" s="3">
        <v>39.5</v>
      </c>
      <c r="M1519" s="6">
        <f t="shared" si="2448"/>
        <v>3.95</v>
      </c>
      <c r="N1519" s="6">
        <f t="shared" si="2449"/>
        <v>1.9750000000000001</v>
      </c>
      <c r="O1519" s="7"/>
      <c r="P1519" s="3">
        <v>2.37</v>
      </c>
      <c r="Q1519" s="6">
        <f>+L1519-M1519-N1519+P1519</f>
        <v>35.944999999999993</v>
      </c>
      <c r="R1519" s="6"/>
      <c r="S1519" s="2">
        <v>32.36</v>
      </c>
      <c r="T1519" s="2">
        <v>1.94</v>
      </c>
      <c r="U1519" s="2"/>
      <c r="V1519" s="2"/>
      <c r="W1519" s="2"/>
      <c r="X1519" s="2">
        <f>+S1519+T1519-W1519</f>
        <v>34.299999999999997</v>
      </c>
      <c r="Y1519" s="6">
        <f>+Q1519-X1519</f>
        <v>1.644999999999996</v>
      </c>
      <c r="Z1519" s="2"/>
      <c r="AA1519" s="2"/>
      <c r="AB1519" s="6">
        <f>+Y1519</f>
        <v>1.644999999999996</v>
      </c>
      <c r="AC1519" s="2"/>
      <c r="AD1519" s="2"/>
      <c r="AE1519" s="2"/>
      <c r="AF1519" s="2"/>
      <c r="AG1519" s="2" t="s">
        <v>197</v>
      </c>
      <c r="AH1519" s="2" t="s">
        <v>228</v>
      </c>
      <c r="AI1519" s="2" t="s">
        <v>227</v>
      </c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</row>
    <row r="1520" spans="2:58">
      <c r="B1520" s="2"/>
      <c r="C1520" s="1">
        <v>43666</v>
      </c>
      <c r="E1520" s="2" t="s">
        <v>61</v>
      </c>
      <c r="F1520" s="2"/>
      <c r="G1520" s="2" t="s">
        <v>225</v>
      </c>
      <c r="H1520" s="2" t="s">
        <v>226</v>
      </c>
      <c r="I1520" s="2"/>
      <c r="J1520" s="2">
        <v>1</v>
      </c>
      <c r="K1520" s="2"/>
      <c r="L1520" s="3">
        <v>28.7</v>
      </c>
      <c r="M1520" s="6">
        <f t="shared" si="2448"/>
        <v>2.87</v>
      </c>
      <c r="N1520" s="6">
        <f t="shared" si="2449"/>
        <v>1.4350000000000001</v>
      </c>
      <c r="O1520" s="7"/>
      <c r="P1520" s="3"/>
      <c r="Q1520" s="6">
        <f>+L1520-M1520-N1520+P1520</f>
        <v>24.395</v>
      </c>
      <c r="R1520" s="6"/>
      <c r="S1520" s="2">
        <v>19</v>
      </c>
      <c r="T1520" s="2">
        <v>1.1399999999999999</v>
      </c>
      <c r="U1520" s="2"/>
      <c r="V1520" s="2"/>
      <c r="W1520" s="2"/>
      <c r="X1520" s="2">
        <f>+S1520+T1520-W1520</f>
        <v>20.14</v>
      </c>
      <c r="Y1520" s="6">
        <f>+Q1520-X1520</f>
        <v>4.254999999999999</v>
      </c>
      <c r="Z1520" s="2"/>
      <c r="AA1520" s="2"/>
      <c r="AB1520" s="6">
        <f>+Y1520</f>
        <v>4.254999999999999</v>
      </c>
      <c r="AC1520" s="2"/>
      <c r="AD1520" s="2"/>
      <c r="AE1520" s="2"/>
      <c r="AF1520" s="2"/>
      <c r="AG1520" s="2" t="s">
        <v>92</v>
      </c>
      <c r="AH1520" s="2" t="s">
        <v>224</v>
      </c>
      <c r="AI1520" s="2" t="s">
        <v>223</v>
      </c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</row>
    <row r="1521" spans="2:58">
      <c r="B1521" s="2"/>
      <c r="C1521" s="1">
        <v>43666</v>
      </c>
      <c r="E1521" s="2" t="s">
        <v>217</v>
      </c>
      <c r="F1521" s="2"/>
      <c r="G1521" s="2" t="s">
        <v>221</v>
      </c>
      <c r="H1521" s="2" t="s">
        <v>222</v>
      </c>
      <c r="I1521" s="2"/>
      <c r="J1521" s="2">
        <v>1</v>
      </c>
      <c r="K1521" s="2"/>
      <c r="L1521" s="3">
        <v>21.6</v>
      </c>
      <c r="M1521" s="6">
        <f t="shared" si="2448"/>
        <v>2.16</v>
      </c>
      <c r="N1521" s="6">
        <v>1.31</v>
      </c>
      <c r="O1521" s="7"/>
      <c r="P1521" s="3">
        <v>1.35</v>
      </c>
      <c r="Q1521" s="6">
        <f>+L1521-M1521-N1521+P1521</f>
        <v>19.480000000000004</v>
      </c>
      <c r="R1521" s="6"/>
      <c r="S1521" s="2">
        <v>13.99</v>
      </c>
      <c r="T1521" s="2">
        <v>0.87</v>
      </c>
      <c r="U1521" s="2"/>
      <c r="V1521" s="2"/>
      <c r="W1521" s="2"/>
      <c r="X1521" s="2">
        <f>+S1521+T1521-W1521</f>
        <v>14.86</v>
      </c>
      <c r="Y1521" s="6">
        <f>+Q1521-X1521</f>
        <v>4.6200000000000045</v>
      </c>
      <c r="Z1521" s="2"/>
      <c r="AA1521" s="2"/>
      <c r="AB1521" s="2"/>
      <c r="AC1521" s="2"/>
      <c r="AD1521" s="2"/>
      <c r="AE1521" s="6">
        <f>+Y1521</f>
        <v>4.6200000000000045</v>
      </c>
      <c r="AF1521" s="6"/>
      <c r="AG1521" s="2" t="s">
        <v>220</v>
      </c>
      <c r="AH1521" s="2" t="s">
        <v>219</v>
      </c>
      <c r="AI1521" s="2" t="s">
        <v>218</v>
      </c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</row>
    <row r="1522" spans="2:58">
      <c r="B1522" s="2"/>
      <c r="E1522" s="2"/>
      <c r="F1522" s="2"/>
      <c r="G1522" s="2"/>
      <c r="H1522" s="2"/>
      <c r="I1522" s="2"/>
      <c r="J1522" s="2"/>
      <c r="K1522" s="2"/>
      <c r="L1522" s="3"/>
      <c r="M1522" s="6" t="s">
        <v>16</v>
      </c>
      <c r="N1522" s="6" t="s">
        <v>16</v>
      </c>
      <c r="O1522" s="7"/>
      <c r="P1522" s="3"/>
      <c r="Q1522" s="6" t="s">
        <v>16</v>
      </c>
      <c r="R1522" s="6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</row>
    <row r="1523" spans="2:58">
      <c r="B1523" s="2">
        <v>1</v>
      </c>
      <c r="C1523" s="1">
        <v>43665</v>
      </c>
      <c r="E1523" s="2" t="s">
        <v>60</v>
      </c>
      <c r="F1523" s="2"/>
      <c r="G1523" s="2" t="s">
        <v>215</v>
      </c>
      <c r="H1523" s="2" t="s">
        <v>216</v>
      </c>
      <c r="I1523" s="2"/>
      <c r="J1523" s="2">
        <v>1</v>
      </c>
      <c r="K1523" s="2"/>
      <c r="L1523" s="3">
        <v>35.5</v>
      </c>
      <c r="M1523" s="6">
        <f t="shared" si="2448"/>
        <v>3.5500000000000003</v>
      </c>
      <c r="N1523" s="6">
        <f t="shared" si="2449"/>
        <v>1.7750000000000001</v>
      </c>
      <c r="O1523" s="7"/>
      <c r="P1523" s="3"/>
      <c r="Q1523" s="6">
        <f>+L1523-M1523-N1523+P1523</f>
        <v>30.175000000000001</v>
      </c>
      <c r="R1523" s="6"/>
      <c r="S1523" s="2">
        <v>32.36</v>
      </c>
      <c r="T1523" s="2">
        <v>1.94</v>
      </c>
      <c r="U1523" s="2"/>
      <c r="V1523" s="2"/>
      <c r="W1523" s="2"/>
      <c r="X1523" s="2">
        <f>+S1523+T1523-W1523</f>
        <v>34.299999999999997</v>
      </c>
      <c r="Y1523" s="6">
        <f>+Q1523-X1523</f>
        <v>-4.1249999999999964</v>
      </c>
      <c r="Z1523" s="2"/>
      <c r="AA1523" s="2"/>
      <c r="AB1523" s="6">
        <f>+Y1523</f>
        <v>-4.1249999999999964</v>
      </c>
      <c r="AC1523" s="2"/>
      <c r="AD1523" s="2"/>
      <c r="AE1523" s="2"/>
      <c r="AF1523" s="2"/>
      <c r="AG1523" s="2" t="s">
        <v>100</v>
      </c>
      <c r="AH1523" s="2" t="s">
        <v>214</v>
      </c>
      <c r="AI1523" s="2" t="s">
        <v>213</v>
      </c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</row>
    <row r="1524" spans="2:58">
      <c r="B1524" s="2"/>
      <c r="E1524" s="2"/>
      <c r="F1524" s="2"/>
      <c r="G1524" s="2"/>
      <c r="H1524" s="2"/>
      <c r="I1524" s="2"/>
      <c r="J1524" s="2"/>
      <c r="K1524" s="2"/>
      <c r="L1524" s="3"/>
      <c r="M1524" s="6" t="s">
        <v>16</v>
      </c>
      <c r="N1524" s="6" t="s">
        <v>16</v>
      </c>
      <c r="O1524" s="7"/>
      <c r="P1524" s="3"/>
      <c r="Q1524" s="6" t="s">
        <v>16</v>
      </c>
      <c r="R1524" s="6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</row>
    <row r="1525" spans="2:58">
      <c r="B1525" s="2">
        <v>4</v>
      </c>
      <c r="C1525" s="1">
        <v>43664</v>
      </c>
      <c r="E1525" s="2" t="s">
        <v>35</v>
      </c>
      <c r="F1525" s="2"/>
      <c r="G1525" s="2" t="s">
        <v>211</v>
      </c>
      <c r="H1525" s="2" t="s">
        <v>212</v>
      </c>
      <c r="I1525" s="2"/>
      <c r="J1525" s="2">
        <v>1</v>
      </c>
      <c r="K1525" s="2"/>
      <c r="L1525" s="3">
        <v>52.5</v>
      </c>
      <c r="M1525" s="6">
        <f t="shared" si="2448"/>
        <v>5.25</v>
      </c>
      <c r="N1525" s="6">
        <f t="shared" si="2449"/>
        <v>2.625</v>
      </c>
      <c r="O1525" s="7"/>
      <c r="P1525" s="3">
        <v>3.68</v>
      </c>
      <c r="Q1525" s="6">
        <f>+L1525-M1525-N1525+P1525</f>
        <v>48.305</v>
      </c>
      <c r="R1525" s="6"/>
      <c r="S1525" s="2">
        <v>39.96</v>
      </c>
      <c r="T1525" s="2">
        <v>2.8</v>
      </c>
      <c r="U1525" s="2"/>
      <c r="V1525" s="2"/>
      <c r="W1525" s="2"/>
      <c r="X1525" s="2">
        <f>+S1525+T1525-W1525</f>
        <v>42.76</v>
      </c>
      <c r="Y1525" s="6">
        <f>+Q1525-X1525</f>
        <v>5.5450000000000017</v>
      </c>
      <c r="Z1525" s="6">
        <f>+Y1525</f>
        <v>5.5450000000000017</v>
      </c>
      <c r="AA1525" s="6"/>
      <c r="AB1525" s="6"/>
      <c r="AC1525" s="6" t="s">
        <v>16</v>
      </c>
      <c r="AD1525" s="2"/>
      <c r="AE1525" s="2"/>
      <c r="AF1525" s="2"/>
      <c r="AG1525" s="2" t="s">
        <v>96</v>
      </c>
      <c r="AH1525" s="2" t="s">
        <v>209</v>
      </c>
      <c r="AI1525" s="2" t="s">
        <v>210</v>
      </c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</row>
    <row r="1526" spans="2:58">
      <c r="B1526" s="2"/>
      <c r="C1526" s="1">
        <v>43664</v>
      </c>
      <c r="E1526" s="2" t="s">
        <v>129</v>
      </c>
      <c r="F1526" s="2"/>
      <c r="G1526" s="2" t="s">
        <v>207</v>
      </c>
      <c r="H1526" s="2" t="s">
        <v>208</v>
      </c>
      <c r="I1526" s="2"/>
      <c r="J1526" s="2">
        <v>1</v>
      </c>
      <c r="K1526" s="2" t="s">
        <v>258</v>
      </c>
      <c r="L1526" s="3">
        <v>83.5</v>
      </c>
      <c r="M1526" s="6">
        <f t="shared" si="2448"/>
        <v>8.35</v>
      </c>
      <c r="N1526" s="6">
        <v>4.3</v>
      </c>
      <c r="O1526" s="7"/>
      <c r="P1526" s="3">
        <v>7.52</v>
      </c>
      <c r="Q1526" s="6">
        <f>+L1526-M1526-N1526++O1526+P1526</f>
        <v>78.37</v>
      </c>
      <c r="R1526" s="6"/>
      <c r="S1526" s="2">
        <v>65.19</v>
      </c>
      <c r="T1526" s="2"/>
      <c r="U1526" s="2"/>
      <c r="V1526" s="2"/>
      <c r="W1526" s="2">
        <v>6.52</v>
      </c>
      <c r="X1526" s="2">
        <f>+S1526+T1526-W1526</f>
        <v>58.67</v>
      </c>
      <c r="Y1526" s="6">
        <f>+Q1526-X1526</f>
        <v>19.700000000000003</v>
      </c>
      <c r="Z1526" s="2"/>
      <c r="AA1526" s="6">
        <f>+Y1526</f>
        <v>19.700000000000003</v>
      </c>
      <c r="AB1526" s="6"/>
      <c r="AC1526" s="6"/>
      <c r="AD1526" s="2"/>
      <c r="AE1526" s="2"/>
      <c r="AF1526" s="2"/>
      <c r="AG1526" s="2" t="s">
        <v>15</v>
      </c>
      <c r="AH1526" s="2" t="s">
        <v>206</v>
      </c>
      <c r="AI1526" s="2" t="s">
        <v>205</v>
      </c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</row>
    <row r="1527" spans="2:58">
      <c r="B1527" s="2"/>
      <c r="C1527" s="1">
        <v>43664</v>
      </c>
      <c r="E1527" s="2" t="s">
        <v>297</v>
      </c>
      <c r="F1527" s="2"/>
      <c r="G1527" s="2" t="s">
        <v>203</v>
      </c>
      <c r="H1527" s="2" t="s">
        <v>204</v>
      </c>
      <c r="I1527" s="2"/>
      <c r="J1527" s="2">
        <v>1</v>
      </c>
      <c r="K1527" s="2"/>
      <c r="L1527" s="3">
        <v>19</v>
      </c>
      <c r="M1527" s="6">
        <f t="shared" si="2448"/>
        <v>1.9000000000000001</v>
      </c>
      <c r="N1527" s="6">
        <v>1.1399999999999999</v>
      </c>
      <c r="O1527" s="7"/>
      <c r="P1527" s="3"/>
      <c r="Q1527" s="6">
        <f>+L1527-M1527-N1527+P1527</f>
        <v>15.96</v>
      </c>
      <c r="R1527" s="6"/>
      <c r="S1527" s="2">
        <v>11.99</v>
      </c>
      <c r="T1527" s="2">
        <v>1.02</v>
      </c>
      <c r="U1527" s="2"/>
      <c r="V1527" s="2"/>
      <c r="W1527" s="2"/>
      <c r="X1527" s="2">
        <f>+S1527+T1527-W1527</f>
        <v>13.01</v>
      </c>
      <c r="Y1527" s="6">
        <f>+Q1527-X1527</f>
        <v>2.9500000000000011</v>
      </c>
      <c r="Z1527" s="2"/>
      <c r="AA1527" s="2"/>
      <c r="AB1527" s="2"/>
      <c r="AC1527" s="6">
        <f>+Y1527</f>
        <v>2.9500000000000011</v>
      </c>
      <c r="AD1527" s="2"/>
      <c r="AE1527" s="2"/>
      <c r="AF1527" s="2"/>
      <c r="AG1527" s="2" t="s">
        <v>202</v>
      </c>
      <c r="AH1527" s="2" t="s">
        <v>200</v>
      </c>
      <c r="AI1527" s="2" t="s">
        <v>201</v>
      </c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</row>
    <row r="1528" spans="2:58">
      <c r="B1528" s="2"/>
      <c r="C1528" s="1">
        <v>43664</v>
      </c>
      <c r="E1528" s="2" t="s">
        <v>178</v>
      </c>
      <c r="F1528" s="2"/>
      <c r="G1528" s="2" t="s">
        <v>198</v>
      </c>
      <c r="H1528" s="2" t="s">
        <v>199</v>
      </c>
      <c r="I1528" s="2"/>
      <c r="J1528" s="2">
        <v>1</v>
      </c>
      <c r="K1528" s="2"/>
      <c r="L1528" s="3">
        <v>29.5</v>
      </c>
      <c r="M1528" s="6">
        <f t="shared" si="2448"/>
        <v>2.95</v>
      </c>
      <c r="N1528" s="6">
        <v>1.68</v>
      </c>
      <c r="O1528" s="7"/>
      <c r="P1528" s="3">
        <v>1.77</v>
      </c>
      <c r="Q1528" s="6">
        <f>+L1528-M1528-N1528+P1528</f>
        <v>26.64</v>
      </c>
      <c r="R1528" s="6"/>
      <c r="S1528" s="2">
        <v>14.98</v>
      </c>
      <c r="T1528" s="2">
        <v>0.9</v>
      </c>
      <c r="U1528" s="2"/>
      <c r="V1528" s="2"/>
      <c r="W1528" s="2"/>
      <c r="X1528" s="2">
        <f>+S1528+T1528-W1528</f>
        <v>15.88</v>
      </c>
      <c r="Y1528" s="2">
        <f>+Q1528-X1528</f>
        <v>10.76</v>
      </c>
      <c r="Z1528" s="2"/>
      <c r="AA1528" s="2"/>
      <c r="AB1528" s="2"/>
      <c r="AC1528" s="6">
        <f>+Y1528</f>
        <v>10.76</v>
      </c>
      <c r="AD1528" s="2"/>
      <c r="AE1528" s="2"/>
      <c r="AF1528" s="2"/>
      <c r="AG1528" s="2" t="s">
        <v>197</v>
      </c>
      <c r="AH1528" s="2" t="s">
        <v>196</v>
      </c>
      <c r="AI1528" s="2" t="s">
        <v>195</v>
      </c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</row>
    <row r="1529" spans="2:58" s="2" customFormat="1" ht="15">
      <c r="L1529" s="3"/>
      <c r="M1529" s="6" t="s">
        <v>16</v>
      </c>
      <c r="N1529" s="6" t="s">
        <v>16</v>
      </c>
      <c r="O1529" s="7"/>
      <c r="P1529" s="3"/>
      <c r="Q1529" s="6" t="s">
        <v>16</v>
      </c>
      <c r="R1529" s="6"/>
    </row>
    <row r="1530" spans="2:58" s="2" customFormat="1" ht="15">
      <c r="B1530" s="2">
        <v>4</v>
      </c>
      <c r="C1530" s="1">
        <v>43663</v>
      </c>
      <c r="E1530" s="2" t="s">
        <v>130</v>
      </c>
      <c r="G1530" s="2" t="s">
        <v>369</v>
      </c>
      <c r="H1530" s="2" t="s">
        <v>194</v>
      </c>
      <c r="J1530" s="2">
        <v>1</v>
      </c>
      <c r="L1530" s="3">
        <v>87.5</v>
      </c>
      <c r="M1530" s="6">
        <f t="shared" si="2448"/>
        <v>8.75</v>
      </c>
      <c r="N1530" s="6">
        <v>4.1500000000000004</v>
      </c>
      <c r="O1530" s="7"/>
      <c r="P1530" s="3"/>
      <c r="Q1530" s="6">
        <f>+L1530-M1530-N1530+P1530</f>
        <v>74.599999999999994</v>
      </c>
      <c r="R1530" s="6"/>
      <c r="S1530" s="2">
        <v>70.650000000000006</v>
      </c>
      <c r="T1530" s="2">
        <v>8.1199999999999992</v>
      </c>
      <c r="X1530" s="2">
        <f>+S1530+T1530-W1530</f>
        <v>78.77000000000001</v>
      </c>
      <c r="Y1530" s="6">
        <f>+Q1530-X1530</f>
        <v>-4.1700000000000159</v>
      </c>
      <c r="AE1530" s="6">
        <f>+Y1530</f>
        <v>-4.1700000000000159</v>
      </c>
      <c r="AF1530" s="6"/>
      <c r="AG1530" s="2" t="s">
        <v>13</v>
      </c>
      <c r="AH1530" s="2" t="s">
        <v>193</v>
      </c>
      <c r="AI1530" s="2" t="s">
        <v>192</v>
      </c>
    </row>
    <row r="1531" spans="2:58" s="2" customFormat="1" ht="15">
      <c r="C1531" s="1">
        <v>43663</v>
      </c>
      <c r="E1531" s="2" t="s">
        <v>35</v>
      </c>
      <c r="G1531" s="2" t="s">
        <v>190</v>
      </c>
      <c r="H1531" s="2" t="s">
        <v>191</v>
      </c>
      <c r="J1531" s="2">
        <v>1</v>
      </c>
      <c r="L1531" s="3">
        <v>52.5</v>
      </c>
      <c r="M1531" s="6">
        <f t="shared" si="2448"/>
        <v>5.25</v>
      </c>
      <c r="N1531" s="6">
        <f t="shared" si="2449"/>
        <v>2.625</v>
      </c>
      <c r="O1531" s="7"/>
      <c r="P1531" s="3">
        <v>4.72</v>
      </c>
      <c r="Q1531" s="6">
        <f>+L1531-M1531-N1531+P1531</f>
        <v>49.344999999999999</v>
      </c>
      <c r="R1531" s="6"/>
      <c r="S1531" s="2">
        <v>39.96</v>
      </c>
      <c r="T1531" s="2">
        <v>2.8</v>
      </c>
      <c r="X1531" s="2">
        <f>+S1531+T1531-W1531</f>
        <v>42.76</v>
      </c>
      <c r="Y1531" s="6">
        <f>+Q1531-X1531</f>
        <v>6.5850000000000009</v>
      </c>
      <c r="Z1531" s="6">
        <f>+Y1531</f>
        <v>6.5850000000000009</v>
      </c>
      <c r="AA1531" s="6"/>
      <c r="AB1531" s="6"/>
      <c r="AC1531" s="6"/>
      <c r="AG1531" s="2" t="s">
        <v>15</v>
      </c>
      <c r="AH1531" s="2" t="s">
        <v>188</v>
      </c>
      <c r="AI1531" s="2" t="s">
        <v>189</v>
      </c>
    </row>
    <row r="1532" spans="2:58" s="2" customFormat="1" ht="15">
      <c r="C1532" s="1">
        <v>43663</v>
      </c>
      <c r="E1532" s="2" t="s">
        <v>178</v>
      </c>
      <c r="G1532" s="2" t="s">
        <v>186</v>
      </c>
      <c r="H1532" s="2" t="s">
        <v>187</v>
      </c>
      <c r="J1532" s="2">
        <v>2</v>
      </c>
      <c r="L1532" s="3">
        <v>59</v>
      </c>
      <c r="M1532" s="6">
        <f t="shared" si="2448"/>
        <v>5.9</v>
      </c>
      <c r="N1532" s="6">
        <v>3.02</v>
      </c>
      <c r="O1532" s="7"/>
      <c r="P1532" s="3">
        <v>2.77</v>
      </c>
      <c r="Q1532" s="6">
        <f>+L1532-M1532-N1532+P1532</f>
        <v>52.85</v>
      </c>
      <c r="R1532" s="6"/>
      <c r="S1532" s="2">
        <v>29.96</v>
      </c>
      <c r="T1532" s="2">
        <v>2.77</v>
      </c>
      <c r="X1532" s="2">
        <f>+S1532+T1532-W1532</f>
        <v>32.730000000000004</v>
      </c>
      <c r="Y1532" s="6">
        <f>+Q1532-X1532</f>
        <v>20.119999999999997</v>
      </c>
      <c r="AD1532" s="6">
        <f>+Y1532</f>
        <v>20.119999999999997</v>
      </c>
      <c r="AG1532" s="2" t="s">
        <v>185</v>
      </c>
      <c r="AH1532" s="2" t="s">
        <v>184</v>
      </c>
      <c r="AI1532" s="2" t="s">
        <v>183</v>
      </c>
    </row>
    <row r="1533" spans="2:58" s="2" customFormat="1" ht="15">
      <c r="C1533" s="1">
        <v>43663</v>
      </c>
      <c r="E1533" s="2" t="s">
        <v>61</v>
      </c>
      <c r="G1533" s="2" t="s">
        <v>181</v>
      </c>
      <c r="H1533" s="2" t="s">
        <v>182</v>
      </c>
      <c r="J1533" s="2">
        <v>1</v>
      </c>
      <c r="L1533" s="3">
        <v>28.5</v>
      </c>
      <c r="M1533" s="6">
        <f t="shared" si="2448"/>
        <v>2.85</v>
      </c>
      <c r="N1533" s="6">
        <f t="shared" si="2449"/>
        <v>1.425</v>
      </c>
      <c r="O1533" s="7"/>
      <c r="P1533" s="3">
        <v>0</v>
      </c>
      <c r="Q1533" s="6">
        <f>+L1533-M1533-N1533+P1533</f>
        <v>24.224999999999998</v>
      </c>
      <c r="R1533" s="6"/>
      <c r="S1533" s="2">
        <v>19</v>
      </c>
      <c r="T1533" s="2">
        <v>1.1399999999999999</v>
      </c>
      <c r="X1533" s="2">
        <f>+S1533+T1533-W1533</f>
        <v>20.14</v>
      </c>
      <c r="Y1533" s="6">
        <f>+Q1533-X1533</f>
        <v>4.0849999999999973</v>
      </c>
      <c r="AB1533" s="6">
        <f>+Y1533</f>
        <v>4.0849999999999973</v>
      </c>
      <c r="AG1533" s="2" t="s">
        <v>180</v>
      </c>
      <c r="AH1533" s="2" t="s">
        <v>179</v>
      </c>
    </row>
    <row r="1534" spans="2:58" s="2" customFormat="1" ht="15">
      <c r="L1534" s="3"/>
      <c r="M1534" s="6" t="s">
        <v>16</v>
      </c>
      <c r="N1534" s="6" t="s">
        <v>16</v>
      </c>
      <c r="O1534" s="7"/>
      <c r="P1534" s="3"/>
      <c r="Q1534" s="6" t="s">
        <v>16</v>
      </c>
      <c r="R1534" s="6"/>
    </row>
    <row r="1535" spans="2:58" s="2" customFormat="1" ht="15">
      <c r="B1535" s="2">
        <v>3</v>
      </c>
      <c r="C1535" s="1">
        <v>43662</v>
      </c>
      <c r="E1535" s="2" t="s">
        <v>35</v>
      </c>
      <c r="G1535" s="2" t="s">
        <v>176</v>
      </c>
      <c r="H1535" s="2" t="s">
        <v>177</v>
      </c>
      <c r="J1535" s="2">
        <v>1</v>
      </c>
      <c r="K1535" s="2" t="s">
        <v>258</v>
      </c>
      <c r="L1535" s="3">
        <v>52.5</v>
      </c>
      <c r="M1535" s="6">
        <f t="shared" si="2448"/>
        <v>5.25</v>
      </c>
      <c r="N1535" s="6">
        <f t="shared" si="2449"/>
        <v>2.625</v>
      </c>
      <c r="O1535" s="7"/>
      <c r="P1535" s="3">
        <v>4.72</v>
      </c>
      <c r="Q1535" s="6">
        <f>+L1535-M1535-N1535+P1535</f>
        <v>49.344999999999999</v>
      </c>
      <c r="R1535" s="6"/>
      <c r="S1535" s="2">
        <v>39.79</v>
      </c>
      <c r="T1535" s="2">
        <v>2.2799999999999998</v>
      </c>
      <c r="X1535" s="2">
        <f>+S1535+T1535-W1535</f>
        <v>42.07</v>
      </c>
      <c r="Y1535" s="6">
        <f>+Q1535-X1535</f>
        <v>7.2749999999999986</v>
      </c>
      <c r="Z1535" s="6">
        <f>+Y1535</f>
        <v>7.2749999999999986</v>
      </c>
      <c r="AA1535" s="6"/>
      <c r="AB1535" s="6"/>
      <c r="AC1535" s="6"/>
      <c r="AG1535" s="2" t="s">
        <v>26</v>
      </c>
      <c r="AH1535" s="2" t="s">
        <v>175</v>
      </c>
    </row>
    <row r="1536" spans="2:58" s="2" customFormat="1" ht="15">
      <c r="C1536" s="1">
        <v>43662</v>
      </c>
      <c r="E1536" s="2" t="s">
        <v>131</v>
      </c>
      <c r="G1536" s="2" t="s">
        <v>173</v>
      </c>
      <c r="H1536" s="2" t="s">
        <v>174</v>
      </c>
      <c r="J1536" s="2">
        <v>1</v>
      </c>
      <c r="L1536" s="3">
        <v>52.9</v>
      </c>
      <c r="M1536" s="6">
        <f t="shared" si="2448"/>
        <v>5.29</v>
      </c>
      <c r="N1536" s="6">
        <v>2.63</v>
      </c>
      <c r="O1536" s="7"/>
      <c r="P1536" s="3"/>
      <c r="Q1536" s="6">
        <f>+L1536-M1536-N1536+P1536</f>
        <v>44.98</v>
      </c>
      <c r="R1536" s="6"/>
      <c r="S1536" s="2">
        <v>39.99</v>
      </c>
      <c r="T1536" s="2">
        <v>4.5999999999999996</v>
      </c>
      <c r="X1536" s="2">
        <f>+S1536+T1536-W1536</f>
        <v>44.59</v>
      </c>
      <c r="Y1536" s="6">
        <f>+Q1536-X1536</f>
        <v>0.38999999999999346</v>
      </c>
      <c r="AE1536" s="6">
        <f>+Y1536</f>
        <v>0.38999999999999346</v>
      </c>
      <c r="AF1536" s="6"/>
      <c r="AG1536" s="2" t="s">
        <v>13</v>
      </c>
      <c r="AH1536" s="2" t="s">
        <v>172</v>
      </c>
    </row>
    <row r="1537" spans="2:58" s="2" customFormat="1" ht="15">
      <c r="C1537" s="1">
        <v>43662</v>
      </c>
      <c r="E1537" s="2" t="s">
        <v>130</v>
      </c>
      <c r="G1537" s="4" t="s">
        <v>170</v>
      </c>
      <c r="H1537" s="2" t="s">
        <v>171</v>
      </c>
      <c r="J1537" s="2">
        <v>1</v>
      </c>
      <c r="L1537" s="3">
        <v>87.5</v>
      </c>
      <c r="M1537" s="6">
        <f t="shared" si="2448"/>
        <v>8.75</v>
      </c>
      <c r="N1537" s="6">
        <v>4.1500000000000004</v>
      </c>
      <c r="O1537" s="7"/>
      <c r="P1537" s="3"/>
      <c r="Q1537" s="6">
        <f>+L1537-M1537-N1537+P1537</f>
        <v>74.599999999999994</v>
      </c>
      <c r="R1537" s="6"/>
      <c r="S1537" s="2">
        <v>70.650000000000006</v>
      </c>
      <c r="T1537" s="2">
        <v>8.1199999999999992</v>
      </c>
      <c r="X1537" s="2">
        <f>+S1537+T1537-W1537</f>
        <v>78.77000000000001</v>
      </c>
      <c r="Y1537" s="2">
        <f>+Q1537-X1537</f>
        <v>-4.1700000000000159</v>
      </c>
      <c r="AE1537" s="2">
        <f>+Y1537</f>
        <v>-4.1700000000000159</v>
      </c>
      <c r="AG1537" s="2" t="s">
        <v>13</v>
      </c>
      <c r="AH1537" s="2" t="s">
        <v>169</v>
      </c>
    </row>
    <row r="1538" spans="2:58" s="2" customFormat="1" ht="15">
      <c r="E1538" s="2" t="s">
        <v>16</v>
      </c>
      <c r="L1538" s="3"/>
      <c r="M1538" s="6" t="s">
        <v>16</v>
      </c>
      <c r="N1538" s="6" t="s">
        <v>16</v>
      </c>
      <c r="O1538" s="7"/>
      <c r="P1538" s="3"/>
      <c r="Q1538" s="6" t="s">
        <v>16</v>
      </c>
      <c r="R1538" s="6"/>
    </row>
    <row r="1539" spans="2:58" s="2" customFormat="1" ht="15">
      <c r="B1539" s="2">
        <v>5</v>
      </c>
      <c r="C1539" s="1">
        <v>43661</v>
      </c>
      <c r="E1539" s="2" t="s">
        <v>35</v>
      </c>
      <c r="G1539" s="2" t="s">
        <v>166</v>
      </c>
      <c r="H1539" s="2" t="s">
        <v>167</v>
      </c>
      <c r="J1539" s="2">
        <v>1</v>
      </c>
      <c r="L1539" s="3">
        <v>49.8</v>
      </c>
      <c r="M1539" s="6">
        <f t="shared" ref="M1539:M1594" si="2450">+L1539*0.1</f>
        <v>4.9800000000000004</v>
      </c>
      <c r="N1539" s="6">
        <f t="shared" ref="N1539:N1591" si="2451">+L1539*0.05</f>
        <v>2.4900000000000002</v>
      </c>
      <c r="O1539" s="7"/>
      <c r="P1539" s="3"/>
      <c r="Q1539" s="6">
        <f>+L1539-M1539-N1539+P1539</f>
        <v>42.329999999999991</v>
      </c>
      <c r="R1539" s="6"/>
      <c r="S1539" s="2">
        <v>41.54</v>
      </c>
      <c r="T1539" s="2">
        <v>2.4900000000000002</v>
      </c>
      <c r="X1539" s="2">
        <f>+S1539+T1539-W1539</f>
        <v>44.03</v>
      </c>
      <c r="Y1539" s="6">
        <f>+Q1539-X1539</f>
        <v>-1.7000000000000099</v>
      </c>
      <c r="Z1539" s="6">
        <f>+Y1539</f>
        <v>-1.7000000000000099</v>
      </c>
      <c r="AA1539" s="6"/>
      <c r="AB1539" s="6"/>
      <c r="AC1539" s="6"/>
      <c r="AG1539" s="2" t="s">
        <v>168</v>
      </c>
      <c r="AH1539" s="2" t="s">
        <v>165</v>
      </c>
    </row>
    <row r="1540" spans="2:58" s="2" customFormat="1" ht="15">
      <c r="C1540" s="1">
        <v>43661</v>
      </c>
      <c r="E1540" s="2" t="s">
        <v>35</v>
      </c>
      <c r="G1540" s="2" t="s">
        <v>163</v>
      </c>
      <c r="H1540" s="2" t="s">
        <v>164</v>
      </c>
      <c r="J1540" s="2">
        <v>1</v>
      </c>
      <c r="L1540" s="3">
        <v>49.8</v>
      </c>
      <c r="M1540" s="6">
        <f t="shared" si="2450"/>
        <v>4.9800000000000004</v>
      </c>
      <c r="N1540" s="6">
        <f t="shared" si="2451"/>
        <v>2.4900000000000002</v>
      </c>
      <c r="O1540" s="7"/>
      <c r="P1540" s="3">
        <v>4.1100000000000003</v>
      </c>
      <c r="Q1540" s="6">
        <f>+L1540-M1540-N1540+P1540</f>
        <v>46.439999999999991</v>
      </c>
      <c r="R1540" s="6"/>
      <c r="S1540" s="2">
        <v>41.54</v>
      </c>
      <c r="T1540" s="2">
        <v>3.43</v>
      </c>
      <c r="X1540" s="2">
        <f>+S1540+T1540-W1540</f>
        <v>44.97</v>
      </c>
      <c r="Y1540" s="6">
        <f>+Q1540-X1540</f>
        <v>1.4699999999999918</v>
      </c>
      <c r="Z1540" s="6">
        <f>+Y1540</f>
        <v>1.4699999999999918</v>
      </c>
      <c r="AA1540" s="6" t="s">
        <v>16</v>
      </c>
      <c r="AB1540" s="6"/>
      <c r="AC1540" s="6"/>
      <c r="AG1540" s="2" t="s">
        <v>112</v>
      </c>
      <c r="AH1540" s="2" t="s">
        <v>162</v>
      </c>
    </row>
    <row r="1541" spans="2:58" s="2" customFormat="1" ht="15">
      <c r="C1541" s="1">
        <v>43661</v>
      </c>
      <c r="E1541" s="2" t="s">
        <v>150</v>
      </c>
      <c r="G1541" s="2" t="s">
        <v>160</v>
      </c>
      <c r="H1541" s="2" t="s">
        <v>161</v>
      </c>
      <c r="J1541" s="2">
        <v>1</v>
      </c>
      <c r="L1541" s="3">
        <v>66</v>
      </c>
      <c r="M1541" s="6">
        <f t="shared" si="2450"/>
        <v>6.6000000000000005</v>
      </c>
      <c r="N1541" s="6">
        <v>3.2</v>
      </c>
      <c r="O1541" s="7"/>
      <c r="P1541" s="3"/>
      <c r="Q1541" s="6">
        <f>+L1541-M1541-N1541+P1541</f>
        <v>56.199999999999996</v>
      </c>
      <c r="R1541" s="6"/>
      <c r="S1541" s="2">
        <v>55.95</v>
      </c>
      <c r="T1541" s="2">
        <v>4.08</v>
      </c>
      <c r="W1541" s="2">
        <v>5</v>
      </c>
      <c r="X1541" s="2">
        <f>+S1541+T1541-W1541</f>
        <v>55.03</v>
      </c>
      <c r="Y1541" s="6">
        <f>+Q1541-X1541</f>
        <v>1.1699999999999946</v>
      </c>
      <c r="AE1541" s="2">
        <f>+Y1541</f>
        <v>1.1699999999999946</v>
      </c>
      <c r="AG1541" s="2" t="s">
        <v>70</v>
      </c>
      <c r="AH1541" s="2" t="s">
        <v>159</v>
      </c>
    </row>
    <row r="1542" spans="2:58" s="2" customFormat="1" ht="15">
      <c r="C1542" s="1">
        <v>43661</v>
      </c>
      <c r="E1542" s="2" t="s">
        <v>149</v>
      </c>
      <c r="G1542" s="2" t="s">
        <v>157</v>
      </c>
      <c r="H1542" s="2" t="s">
        <v>158</v>
      </c>
      <c r="J1542" s="2">
        <v>1</v>
      </c>
      <c r="L1542" s="3">
        <v>83.5</v>
      </c>
      <c r="M1542" s="6">
        <f t="shared" si="2450"/>
        <v>8.35</v>
      </c>
      <c r="N1542" s="6">
        <f t="shared" si="2451"/>
        <v>4.1749999999999998</v>
      </c>
      <c r="O1542" s="7"/>
      <c r="P1542" s="3"/>
      <c r="Q1542" s="6">
        <f>+L1542-M1542-N1542+P1542</f>
        <v>70.975000000000009</v>
      </c>
      <c r="R1542" s="6"/>
      <c r="S1542" s="2">
        <v>65.19</v>
      </c>
      <c r="W1542" s="2">
        <v>6.52</v>
      </c>
      <c r="X1542" s="2">
        <f>+S1542+T1542-W1542</f>
        <v>58.67</v>
      </c>
      <c r="Y1542" s="6">
        <f>+Q1542-X1542</f>
        <v>12.305000000000007</v>
      </c>
      <c r="AA1542" s="6">
        <f>+Y1542</f>
        <v>12.305000000000007</v>
      </c>
      <c r="AB1542" s="6"/>
      <c r="AC1542" s="6"/>
      <c r="AG1542" s="2" t="s">
        <v>156</v>
      </c>
      <c r="AH1542" s="2" t="s">
        <v>155</v>
      </c>
    </row>
    <row r="1543" spans="2:58" s="2" customFormat="1" ht="15">
      <c r="C1543" s="1">
        <v>43661</v>
      </c>
      <c r="E1543" s="2" t="s">
        <v>35</v>
      </c>
      <c r="G1543" s="2" t="s">
        <v>153</v>
      </c>
      <c r="H1543" s="2" t="s">
        <v>154</v>
      </c>
      <c r="J1543" s="2">
        <v>1</v>
      </c>
      <c r="L1543" s="3">
        <v>49.8</v>
      </c>
      <c r="M1543" s="6">
        <f t="shared" si="2450"/>
        <v>4.9800000000000004</v>
      </c>
      <c r="N1543" s="6">
        <f t="shared" si="2451"/>
        <v>2.4900000000000002</v>
      </c>
      <c r="O1543" s="7"/>
      <c r="P1543" s="3"/>
      <c r="Q1543" s="6">
        <f>+L1543-M1543-N1543+P1543</f>
        <v>42.329999999999991</v>
      </c>
      <c r="R1543" s="6"/>
      <c r="S1543" s="2">
        <v>36.19</v>
      </c>
      <c r="T1543" s="2">
        <v>2.9</v>
      </c>
      <c r="X1543" s="2">
        <f>+S1543+T1543-W1543</f>
        <v>39.089999999999996</v>
      </c>
      <c r="Y1543" s="6">
        <f>+Q1543-X1543</f>
        <v>3.2399999999999949</v>
      </c>
      <c r="Z1543" s="6">
        <f>+Y1543</f>
        <v>3.2399999999999949</v>
      </c>
      <c r="AA1543" s="6"/>
      <c r="AB1543" s="6"/>
      <c r="AC1543" s="6"/>
      <c r="AG1543" s="2" t="s">
        <v>152</v>
      </c>
      <c r="AH1543" s="2" t="s">
        <v>151</v>
      </c>
    </row>
    <row r="1544" spans="2:58" s="2" customFormat="1" ht="15">
      <c r="L1544" s="3"/>
      <c r="M1544" s="6" t="s">
        <v>16</v>
      </c>
      <c r="N1544" s="6" t="s">
        <v>16</v>
      </c>
      <c r="O1544" s="7" t="s">
        <v>16</v>
      </c>
      <c r="P1544" s="3"/>
      <c r="Q1544" s="6" t="s">
        <v>16</v>
      </c>
      <c r="R1544" s="6"/>
    </row>
    <row r="1545" spans="2:58">
      <c r="B1545" s="2">
        <v>5</v>
      </c>
      <c r="C1545" s="1">
        <v>43660</v>
      </c>
      <c r="E1545" s="2" t="s">
        <v>35</v>
      </c>
      <c r="F1545" s="2"/>
      <c r="G1545" s="2" t="s">
        <v>146</v>
      </c>
      <c r="H1545" s="2" t="s">
        <v>147</v>
      </c>
      <c r="I1545" s="2"/>
      <c r="J1545" s="2">
        <v>1</v>
      </c>
      <c r="K1545" s="2"/>
      <c r="L1545" s="3">
        <v>49.8</v>
      </c>
      <c r="M1545" s="6">
        <f t="shared" si="2450"/>
        <v>4.9800000000000004</v>
      </c>
      <c r="N1545" s="6">
        <v>2.69</v>
      </c>
      <c r="O1545" s="7">
        <f>+N1545/(+L1545+P1545)</f>
        <v>4.955784819454679E-2</v>
      </c>
      <c r="P1545" s="3">
        <v>4.4800000000000004</v>
      </c>
      <c r="Q1545" s="6">
        <f>+L1545-M1545-N1545+P1545</f>
        <v>46.61</v>
      </c>
      <c r="R1545" s="6"/>
      <c r="S1545" s="2">
        <v>36.19</v>
      </c>
      <c r="T1545" s="2">
        <v>2.99</v>
      </c>
      <c r="U1545" s="2"/>
      <c r="V1545" s="2"/>
      <c r="W1545" s="2"/>
      <c r="X1545" s="2">
        <f>+S1545+T1545-W1545</f>
        <v>39.18</v>
      </c>
      <c r="Y1545" s="6">
        <f>+Q1545-X1545</f>
        <v>7.43</v>
      </c>
      <c r="Z1545" s="6">
        <f>+Y1545</f>
        <v>7.43</v>
      </c>
      <c r="AA1545" s="6"/>
      <c r="AB1545" s="6"/>
      <c r="AC1545" s="6"/>
      <c r="AD1545" s="2"/>
      <c r="AE1545" s="2"/>
      <c r="AF1545" s="2"/>
      <c r="AG1545" s="2" t="s">
        <v>15</v>
      </c>
      <c r="AH1545" s="2" t="s">
        <v>148</v>
      </c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</row>
    <row r="1546" spans="2:58">
      <c r="B1546" s="2"/>
      <c r="C1546" s="1">
        <v>43660</v>
      </c>
      <c r="E1546" s="2" t="s">
        <v>297</v>
      </c>
      <c r="F1546" s="2"/>
      <c r="G1546" s="2" t="s">
        <v>142</v>
      </c>
      <c r="H1546" s="2" t="s">
        <v>143</v>
      </c>
      <c r="I1546" s="2"/>
      <c r="J1546" s="2">
        <v>1</v>
      </c>
      <c r="K1546" s="2"/>
      <c r="L1546" s="3">
        <v>19</v>
      </c>
      <c r="M1546" s="6">
        <f t="shared" si="2450"/>
        <v>1.9000000000000001</v>
      </c>
      <c r="N1546" s="6">
        <v>1.1399999999999999</v>
      </c>
      <c r="O1546" s="7"/>
      <c r="P1546" s="3"/>
      <c r="Q1546" s="6">
        <f>+L1546-M1546-N1546+P1546</f>
        <v>15.96</v>
      </c>
      <c r="R1546" s="6"/>
      <c r="S1546" s="2">
        <v>11.99</v>
      </c>
      <c r="T1546" s="2"/>
      <c r="U1546" s="2"/>
      <c r="V1546" s="2"/>
      <c r="W1546" s="2"/>
      <c r="X1546" s="2">
        <f>+S1546+T1546-W1546</f>
        <v>11.99</v>
      </c>
      <c r="Y1546" s="6">
        <f>+Q1546-X1546</f>
        <v>3.9700000000000006</v>
      </c>
      <c r="Z1546" s="2"/>
      <c r="AA1546" s="2"/>
      <c r="AB1546" s="2"/>
      <c r="AC1546" s="6">
        <f>+Y1546</f>
        <v>3.9700000000000006</v>
      </c>
      <c r="AD1546" s="2"/>
      <c r="AE1546" s="2"/>
      <c r="AF1546" s="2"/>
      <c r="AG1546" s="2" t="s">
        <v>145</v>
      </c>
      <c r="AH1546" s="2" t="s">
        <v>144</v>
      </c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</row>
    <row r="1547" spans="2:58">
      <c r="B1547" s="2"/>
      <c r="C1547" s="1">
        <v>43660</v>
      </c>
      <c r="E1547" s="2" t="s">
        <v>129</v>
      </c>
      <c r="F1547" s="2"/>
      <c r="G1547" s="2" t="s">
        <v>458</v>
      </c>
      <c r="H1547" s="2" t="s">
        <v>139</v>
      </c>
      <c r="I1547" s="2"/>
      <c r="J1547" s="2">
        <v>1</v>
      </c>
      <c r="K1547" s="2"/>
      <c r="L1547" s="3">
        <v>83.5</v>
      </c>
      <c r="M1547" s="6">
        <f t="shared" si="2450"/>
        <v>8.35</v>
      </c>
      <c r="N1547" s="6">
        <v>3.97</v>
      </c>
      <c r="O1547" s="7">
        <f>+N1547/(+L1547+P1547)</f>
        <v>4.7544910179640722E-2</v>
      </c>
      <c r="P1547" s="3"/>
      <c r="Q1547" s="6">
        <f>+L1547-M1547-N1547+P1547</f>
        <v>71.180000000000007</v>
      </c>
      <c r="R1547" s="6"/>
      <c r="S1547" s="2">
        <v>65.19</v>
      </c>
      <c r="T1547" s="2">
        <v>4.32</v>
      </c>
      <c r="U1547" s="2"/>
      <c r="V1547" s="2"/>
      <c r="W1547" s="2">
        <v>6.52</v>
      </c>
      <c r="X1547" s="2">
        <f>+S1547+T1547-W1547</f>
        <v>62.989999999999995</v>
      </c>
      <c r="Y1547" s="6">
        <f>+Q1547-X1547</f>
        <v>8.1900000000000119</v>
      </c>
      <c r="Z1547" s="2"/>
      <c r="AA1547" s="6">
        <f>+Y1547</f>
        <v>8.1900000000000119</v>
      </c>
      <c r="AB1547" s="6"/>
      <c r="AC1547" s="6"/>
      <c r="AD1547" s="2"/>
      <c r="AE1547" s="2"/>
      <c r="AF1547" s="2"/>
      <c r="AG1547" s="2" t="s">
        <v>141</v>
      </c>
      <c r="AH1547" s="2" t="s">
        <v>140</v>
      </c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</row>
    <row r="1548" spans="2:58">
      <c r="B1548" s="2"/>
      <c r="C1548" s="1">
        <v>43660</v>
      </c>
      <c r="E1548" s="2" t="s">
        <v>87</v>
      </c>
      <c r="F1548" s="2"/>
      <c r="G1548" s="2" t="s">
        <v>136</v>
      </c>
      <c r="H1548" s="2" t="s">
        <v>135</v>
      </c>
      <c r="I1548" s="2"/>
      <c r="J1548" s="2">
        <v>1</v>
      </c>
      <c r="K1548" s="2"/>
      <c r="L1548" s="3">
        <v>33.5</v>
      </c>
      <c r="M1548" s="6">
        <f t="shared" si="2450"/>
        <v>3.35</v>
      </c>
      <c r="N1548" s="6">
        <v>1.77</v>
      </c>
      <c r="O1548" s="7"/>
      <c r="P1548" s="3"/>
      <c r="Q1548" s="6">
        <f>+L1548-M1548-N1548+P1548</f>
        <v>28.38</v>
      </c>
      <c r="R1548" s="6"/>
      <c r="S1548" s="2">
        <v>23.84</v>
      </c>
      <c r="T1548" s="2">
        <v>1.67</v>
      </c>
      <c r="U1548" s="2"/>
      <c r="V1548" s="2"/>
      <c r="W1548" s="2"/>
      <c r="X1548" s="2">
        <f>+S1548+T1548-W1548</f>
        <v>25.509999999999998</v>
      </c>
      <c r="Y1548" s="6">
        <f>+Q1548-X1548</f>
        <v>2.870000000000001</v>
      </c>
      <c r="Z1548" s="2"/>
      <c r="AA1548" s="2"/>
      <c r="AB1548" s="2"/>
      <c r="AC1548" s="2"/>
      <c r="AD1548" s="2"/>
      <c r="AE1548" s="2"/>
      <c r="AF1548" s="2"/>
      <c r="AG1548" s="2" t="s">
        <v>138</v>
      </c>
      <c r="AH1548" s="2" t="s">
        <v>137</v>
      </c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</row>
    <row r="1549" spans="2:58">
      <c r="B1549" s="2"/>
      <c r="C1549" s="1">
        <v>43660</v>
      </c>
      <c r="E1549" s="2" t="s">
        <v>130</v>
      </c>
      <c r="F1549" s="2"/>
      <c r="G1549" s="2" t="s">
        <v>133</v>
      </c>
      <c r="H1549" s="2" t="s">
        <v>132</v>
      </c>
      <c r="I1549" s="2"/>
      <c r="J1549" s="2">
        <v>1</v>
      </c>
      <c r="K1549" s="2"/>
      <c r="L1549" s="3">
        <v>87.5</v>
      </c>
      <c r="M1549" s="6">
        <f t="shared" si="2450"/>
        <v>8.75</v>
      </c>
      <c r="N1549" s="6">
        <v>4.5</v>
      </c>
      <c r="O1549" s="7"/>
      <c r="P1549" s="3">
        <v>7.88</v>
      </c>
      <c r="Q1549" s="6">
        <f>+L1549-M1549-N1549+P1549</f>
        <v>82.13</v>
      </c>
      <c r="R1549" s="6"/>
      <c r="S1549" s="2">
        <v>67.319999999999993</v>
      </c>
      <c r="T1549" s="2">
        <v>4.3600000000000003</v>
      </c>
      <c r="U1549" s="2"/>
      <c r="V1549" s="2"/>
      <c r="W1549" s="2"/>
      <c r="X1549" s="2">
        <f>+S1549+T1549-W1549</f>
        <v>71.679999999999993</v>
      </c>
      <c r="Y1549" s="2">
        <f>+Q1549-X1549</f>
        <v>10.450000000000003</v>
      </c>
      <c r="Z1549" s="2"/>
      <c r="AA1549" s="2"/>
      <c r="AB1549" s="2"/>
      <c r="AC1549" s="2"/>
      <c r="AD1549" s="2"/>
      <c r="AE1549" s="2">
        <f>+Y1549</f>
        <v>10.450000000000003</v>
      </c>
      <c r="AF1549" s="2"/>
      <c r="AG1549" s="2" t="s">
        <v>26</v>
      </c>
      <c r="AH1549" s="2" t="s">
        <v>134</v>
      </c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</row>
    <row r="1550" spans="2:58">
      <c r="B1550" s="2"/>
      <c r="E1550" s="2"/>
      <c r="F1550" s="2"/>
      <c r="G1550" s="2"/>
      <c r="H1550" s="2"/>
      <c r="I1550" s="2"/>
      <c r="J1550" s="2"/>
      <c r="K1550" s="2"/>
      <c r="L1550" s="3"/>
      <c r="M1550" s="6"/>
      <c r="N1550" s="6"/>
      <c r="O1550" s="7"/>
      <c r="P1550" s="3"/>
      <c r="Q1550" s="6" t="s">
        <v>16</v>
      </c>
      <c r="R1550" s="6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</row>
    <row r="1551" spans="2:58">
      <c r="B1551" s="2">
        <v>0</v>
      </c>
      <c r="C1551" s="1">
        <v>43659</v>
      </c>
      <c r="E1551" s="2"/>
      <c r="F1551" s="2"/>
      <c r="G1551" s="2"/>
      <c r="H1551" s="2"/>
      <c r="I1551" s="2"/>
      <c r="J1551" s="2"/>
      <c r="K1551" s="2"/>
      <c r="L1551" s="3"/>
      <c r="M1551" s="6"/>
      <c r="N1551" s="6"/>
      <c r="O1551" s="7"/>
      <c r="P1551" s="3"/>
      <c r="Q1551" s="6" t="s">
        <v>16</v>
      </c>
      <c r="R1551" s="6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</row>
    <row r="1552" spans="2:58">
      <c r="B1552" s="2"/>
      <c r="E1552" s="2"/>
      <c r="F1552" s="2"/>
      <c r="G1552" s="2"/>
      <c r="H1552" s="2"/>
      <c r="I1552" s="2"/>
      <c r="J1552" s="2"/>
      <c r="K1552" s="2"/>
      <c r="L1552" s="3"/>
      <c r="M1552" s="6"/>
      <c r="N1552" s="6"/>
      <c r="O1552" s="7" t="s">
        <v>16</v>
      </c>
      <c r="P1552" s="3"/>
      <c r="Q1552" s="6" t="s">
        <v>16</v>
      </c>
      <c r="R1552" s="6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</row>
    <row r="1553" spans="2:58">
      <c r="B1553" s="2">
        <v>4</v>
      </c>
      <c r="C1553" s="1">
        <v>43658</v>
      </c>
      <c r="E1553" s="2" t="s">
        <v>35</v>
      </c>
      <c r="F1553" s="2"/>
      <c r="G1553" s="2" t="s">
        <v>125</v>
      </c>
      <c r="H1553" s="2" t="s">
        <v>126</v>
      </c>
      <c r="I1553" s="2"/>
      <c r="J1553" s="2">
        <v>1</v>
      </c>
      <c r="K1553" s="2"/>
      <c r="L1553" s="3">
        <v>49.8</v>
      </c>
      <c r="M1553" s="6">
        <f t="shared" si="2450"/>
        <v>4.9800000000000004</v>
      </c>
      <c r="N1553" s="6">
        <v>2.64</v>
      </c>
      <c r="O1553" s="7">
        <f>+N1553/(+L1553+P1553)</f>
        <v>4.9540251454306627E-2</v>
      </c>
      <c r="P1553" s="3">
        <v>3.49</v>
      </c>
      <c r="Q1553" s="6">
        <f>+L1553-M1553-N1553+P1553</f>
        <v>45.669999999999995</v>
      </c>
      <c r="R1553" s="6"/>
      <c r="S1553" s="2">
        <v>36.19</v>
      </c>
      <c r="T1553" s="2">
        <v>2.17</v>
      </c>
      <c r="U1553" s="2"/>
      <c r="V1553" s="2"/>
      <c r="W1553" s="2"/>
      <c r="X1553" s="2">
        <f>+S1553+T1553-W1553</f>
        <v>38.36</v>
      </c>
      <c r="Y1553" s="6">
        <f>+Q1553-X1553</f>
        <v>7.3099999999999952</v>
      </c>
      <c r="Z1553" s="6">
        <f>+Y1553</f>
        <v>7.3099999999999952</v>
      </c>
      <c r="AA1553" s="6"/>
      <c r="AB1553" s="6"/>
      <c r="AC1553" s="6"/>
      <c r="AD1553" s="2"/>
      <c r="AE1553" s="2"/>
      <c r="AF1553" s="2"/>
      <c r="AG1553" s="2" t="s">
        <v>128</v>
      </c>
      <c r="AH1553" s="2" t="s">
        <v>127</v>
      </c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</row>
    <row r="1554" spans="2:58">
      <c r="B1554" s="2"/>
      <c r="C1554" s="1">
        <v>43658</v>
      </c>
      <c r="E1554" s="2" t="s">
        <v>61</v>
      </c>
      <c r="F1554" s="2"/>
      <c r="G1554" s="2" t="s">
        <v>124</v>
      </c>
      <c r="H1554" s="2" t="s">
        <v>123</v>
      </c>
      <c r="I1554" s="2"/>
      <c r="J1554" s="2">
        <v>1</v>
      </c>
      <c r="K1554" s="2"/>
      <c r="L1554" s="3">
        <v>28.5</v>
      </c>
      <c r="M1554" s="6">
        <f t="shared" si="2450"/>
        <v>2.85</v>
      </c>
      <c r="N1554" s="6">
        <f t="shared" si="2451"/>
        <v>1.425</v>
      </c>
      <c r="O1554" s="7"/>
      <c r="P1554" s="3">
        <v>2</v>
      </c>
      <c r="Q1554" s="6">
        <f>+L1554-M1554-N1554+P1554</f>
        <v>26.224999999999998</v>
      </c>
      <c r="R1554" s="6"/>
      <c r="S1554" s="2">
        <v>19</v>
      </c>
      <c r="T1554" s="2">
        <v>1.33</v>
      </c>
      <c r="U1554" s="2"/>
      <c r="V1554" s="2"/>
      <c r="W1554" s="2">
        <v>0</v>
      </c>
      <c r="X1554" s="2">
        <f>+S1554+T1554-W1554</f>
        <v>20.329999999999998</v>
      </c>
      <c r="Y1554" s="6">
        <f>+Q1554-X1554</f>
        <v>5.8949999999999996</v>
      </c>
      <c r="Z1554" s="2"/>
      <c r="AA1554" s="2"/>
      <c r="AB1554" s="6">
        <f>+Y1554</f>
        <v>5.8949999999999996</v>
      </c>
      <c r="AC1554" s="2"/>
      <c r="AD1554" s="2"/>
      <c r="AE1554" s="2"/>
      <c r="AF1554" s="2"/>
      <c r="AG1554" s="2" t="s">
        <v>81</v>
      </c>
      <c r="AH1554" t="s">
        <v>122</v>
      </c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</row>
    <row r="1555" spans="2:58">
      <c r="B1555" s="2"/>
      <c r="C1555" s="1">
        <v>43658</v>
      </c>
      <c r="E1555" s="2" t="s">
        <v>115</v>
      </c>
      <c r="F1555" s="2"/>
      <c r="G1555" s="2" t="s">
        <v>119</v>
      </c>
      <c r="H1555" s="2" t="s">
        <v>120</v>
      </c>
      <c r="I1555" s="2"/>
      <c r="J1555" s="2">
        <v>1</v>
      </c>
      <c r="K1555" s="2"/>
      <c r="L1555" s="3">
        <v>84</v>
      </c>
      <c r="M1555" s="6">
        <f t="shared" si="2450"/>
        <v>8.4</v>
      </c>
      <c r="N1555" s="6">
        <f t="shared" si="2451"/>
        <v>4.2</v>
      </c>
      <c r="O1555" s="7" t="s">
        <v>16</v>
      </c>
      <c r="P1555" s="3">
        <v>6.93</v>
      </c>
      <c r="Q1555" s="6">
        <f>+L1555-M1555-N1555+P1555</f>
        <v>78.329999999999984</v>
      </c>
      <c r="R1555" s="6"/>
      <c r="S1555" s="2">
        <v>65.19</v>
      </c>
      <c r="T1555" s="2"/>
      <c r="U1555" s="2"/>
      <c r="V1555" s="2"/>
      <c r="W1555" s="2">
        <v>6.52</v>
      </c>
      <c r="X1555" s="2">
        <f>+S1555+T1555-W1555</f>
        <v>58.67</v>
      </c>
      <c r="Y1555" s="6">
        <f>+Q1555-X1555</f>
        <v>19.659999999999982</v>
      </c>
      <c r="Z1555" s="2"/>
      <c r="AA1555" s="6">
        <f>+Y1555</f>
        <v>19.659999999999982</v>
      </c>
      <c r="AB1555" s="6"/>
      <c r="AC1555" s="6"/>
      <c r="AD1555" s="2"/>
      <c r="AE1555" s="2"/>
      <c r="AF1555" s="2"/>
      <c r="AG1555" s="2" t="s">
        <v>112</v>
      </c>
      <c r="AH1555" s="2" t="s">
        <v>121</v>
      </c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</row>
    <row r="1556" spans="2:58">
      <c r="B1556" s="2"/>
      <c r="C1556" s="1">
        <v>43658</v>
      </c>
      <c r="E1556" s="2" t="s">
        <v>35</v>
      </c>
      <c r="F1556" s="2"/>
      <c r="G1556" s="2" t="s">
        <v>117</v>
      </c>
      <c r="H1556" s="2" t="s">
        <v>118</v>
      </c>
      <c r="I1556" s="2"/>
      <c r="J1556" s="2">
        <v>1</v>
      </c>
      <c r="K1556" s="2"/>
      <c r="L1556" s="3">
        <v>49.8</v>
      </c>
      <c r="M1556" s="6">
        <f t="shared" si="2450"/>
        <v>4.9800000000000004</v>
      </c>
      <c r="N1556" s="6">
        <v>2.4900000000000002</v>
      </c>
      <c r="O1556" s="7">
        <f>+N1556/(+L1556+P1556)</f>
        <v>5.000000000000001E-2</v>
      </c>
      <c r="P1556" s="3"/>
      <c r="Q1556" s="6">
        <f>+L1556-M1556-N1556+P1556</f>
        <v>42.329999999999991</v>
      </c>
      <c r="R1556" s="6"/>
      <c r="S1556" s="2">
        <v>36.19</v>
      </c>
      <c r="T1556" s="2">
        <v>4.5999999999999996</v>
      </c>
      <c r="U1556" s="2"/>
      <c r="V1556" s="2"/>
      <c r="W1556" s="2"/>
      <c r="X1556" s="2">
        <f>+S1556+T1556-W1556</f>
        <v>40.79</v>
      </c>
      <c r="Y1556" s="6">
        <f>+Q1556-X1556</f>
        <v>1.539999999999992</v>
      </c>
      <c r="Z1556" s="6">
        <f>+Y1556</f>
        <v>1.539999999999992</v>
      </c>
      <c r="AA1556" s="6"/>
      <c r="AB1556" s="6"/>
      <c r="AC1556" s="6"/>
      <c r="AD1556" s="2"/>
      <c r="AE1556" s="2"/>
      <c r="AF1556" s="2"/>
      <c r="AG1556" s="2" t="s">
        <v>13</v>
      </c>
      <c r="AH1556" s="2" t="s">
        <v>116</v>
      </c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</row>
    <row r="1557" spans="2:58">
      <c r="B1557" s="2"/>
      <c r="E1557" s="2"/>
      <c r="F1557" s="2"/>
      <c r="G1557" s="2"/>
      <c r="H1557" s="2"/>
      <c r="I1557" s="2"/>
      <c r="J1557" s="2"/>
      <c r="K1557" s="2"/>
      <c r="L1557" s="3"/>
      <c r="M1557" s="6"/>
      <c r="N1557" s="6"/>
      <c r="O1557" s="7"/>
      <c r="P1557" s="3"/>
      <c r="Q1557" s="6" t="s">
        <v>16</v>
      </c>
      <c r="R1557" s="6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</row>
    <row r="1558" spans="2:58">
      <c r="B1558" s="2">
        <v>0</v>
      </c>
      <c r="C1558" s="1">
        <v>43657</v>
      </c>
      <c r="E1558" s="2"/>
      <c r="F1558" s="2"/>
      <c r="G1558" s="2"/>
      <c r="H1558" s="2"/>
      <c r="I1558" s="2"/>
      <c r="J1558" s="2"/>
      <c r="K1558" s="2"/>
      <c r="L1558" s="3"/>
      <c r="M1558" s="6"/>
      <c r="N1558" s="6"/>
      <c r="O1558" s="7"/>
      <c r="P1558" s="3"/>
      <c r="Q1558" s="6" t="s">
        <v>16</v>
      </c>
      <c r="R1558" s="6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</row>
    <row r="1559" spans="2:58">
      <c r="B1559" s="2"/>
      <c r="E1559" s="2"/>
      <c r="F1559" s="2"/>
      <c r="G1559" s="2"/>
      <c r="H1559" s="2"/>
      <c r="I1559" s="2"/>
      <c r="J1559" s="2"/>
      <c r="K1559" s="2"/>
      <c r="L1559" s="3"/>
      <c r="M1559" s="6"/>
      <c r="N1559" s="6"/>
      <c r="O1559" s="7"/>
      <c r="P1559" s="3"/>
      <c r="Q1559" s="6" t="s">
        <v>16</v>
      </c>
      <c r="R1559" s="6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</row>
    <row r="1560" spans="2:58">
      <c r="B1560" s="2">
        <v>2</v>
      </c>
      <c r="C1560" s="1">
        <v>43656</v>
      </c>
      <c r="E1560" s="2" t="s">
        <v>35</v>
      </c>
      <c r="F1560" s="2"/>
      <c r="G1560" s="2" t="s">
        <v>113</v>
      </c>
      <c r="H1560" s="2" t="s">
        <v>114</v>
      </c>
      <c r="I1560" s="2"/>
      <c r="J1560" s="2">
        <v>1</v>
      </c>
      <c r="K1560" s="2"/>
      <c r="L1560" s="3">
        <v>48.6</v>
      </c>
      <c r="M1560" s="6">
        <f t="shared" si="2450"/>
        <v>4.8600000000000003</v>
      </c>
      <c r="N1560" s="6">
        <f t="shared" si="2451"/>
        <v>2.4300000000000002</v>
      </c>
      <c r="O1560" s="7"/>
      <c r="P1560" s="3">
        <v>4.01</v>
      </c>
      <c r="Q1560" s="6">
        <f>+L1560-M1560-N1560+P1560</f>
        <v>45.32</v>
      </c>
      <c r="R1560" s="6"/>
      <c r="S1560" s="2">
        <v>38.090000000000003</v>
      </c>
      <c r="T1560" s="2">
        <v>3.14</v>
      </c>
      <c r="U1560" s="2"/>
      <c r="V1560" s="2"/>
      <c r="W1560" s="2"/>
      <c r="X1560" s="2">
        <f>+S1560+T1560-W1560</f>
        <v>41.230000000000004</v>
      </c>
      <c r="Y1560" s="6">
        <f>+Q1560-X1560</f>
        <v>4.0899999999999963</v>
      </c>
      <c r="Z1560" s="6">
        <f>+Y1560</f>
        <v>4.0899999999999963</v>
      </c>
      <c r="AA1560" s="6"/>
      <c r="AB1560" s="6"/>
      <c r="AC1560" s="6"/>
      <c r="AD1560" s="2"/>
      <c r="AE1560" s="2"/>
      <c r="AF1560" s="2"/>
      <c r="AG1560" s="2" t="s">
        <v>112</v>
      </c>
      <c r="AH1560" s="2" t="s">
        <v>111</v>
      </c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</row>
    <row r="1561" spans="2:58">
      <c r="C1561" s="1">
        <v>43656</v>
      </c>
      <c r="E1561" s="2" t="s">
        <v>35</v>
      </c>
      <c r="F1561" s="2"/>
      <c r="G1561" s="2" t="s">
        <v>108</v>
      </c>
      <c r="H1561" s="2" t="s">
        <v>109</v>
      </c>
      <c r="I1561" s="2"/>
      <c r="J1561" s="2">
        <v>1</v>
      </c>
      <c r="K1561" s="2"/>
      <c r="L1561" s="3">
        <v>48.6</v>
      </c>
      <c r="M1561" s="6">
        <f t="shared" si="2450"/>
        <v>4.8600000000000003</v>
      </c>
      <c r="N1561" s="6">
        <f t="shared" si="2451"/>
        <v>2.4300000000000002</v>
      </c>
      <c r="O1561" s="7"/>
      <c r="P1561" s="3">
        <v>3.4</v>
      </c>
      <c r="Q1561" s="6">
        <f>+L1561-M1561-N1561+P1561</f>
        <v>44.71</v>
      </c>
      <c r="R1561" s="6"/>
      <c r="S1561" s="2">
        <v>35.04</v>
      </c>
      <c r="T1561" s="2">
        <v>2.4500000000000002</v>
      </c>
      <c r="U1561" s="2"/>
      <c r="V1561" s="2"/>
      <c r="W1561" s="2"/>
      <c r="X1561" s="2">
        <f>+S1561+T1561-W1561</f>
        <v>37.49</v>
      </c>
      <c r="Y1561" s="6">
        <f>+Q1561-X1561</f>
        <v>7.2199999999999989</v>
      </c>
      <c r="Z1561" s="6">
        <f>+Y1561</f>
        <v>7.2199999999999989</v>
      </c>
      <c r="AA1561" s="6"/>
      <c r="AB1561" s="6"/>
      <c r="AC1561" s="6"/>
      <c r="AD1561" s="2"/>
      <c r="AE1561" s="2"/>
      <c r="AF1561" s="2"/>
      <c r="AG1561" s="2" t="s">
        <v>96</v>
      </c>
      <c r="AH1561" s="2" t="s">
        <v>110</v>
      </c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</row>
    <row r="1562" spans="2:58" s="2" customFormat="1" ht="15">
      <c r="L1562" s="3"/>
      <c r="M1562" s="6"/>
      <c r="N1562" s="6"/>
      <c r="O1562" s="7"/>
      <c r="P1562" s="3"/>
      <c r="Q1562" s="6" t="s">
        <v>16</v>
      </c>
      <c r="R1562" s="6"/>
    </row>
    <row r="1563" spans="2:58" s="2" customFormat="1" ht="15">
      <c r="B1563" s="2">
        <v>0</v>
      </c>
      <c r="C1563" s="1">
        <v>43655</v>
      </c>
      <c r="L1563" s="3"/>
      <c r="M1563" s="6"/>
      <c r="N1563" s="6"/>
      <c r="O1563" s="7"/>
      <c r="P1563" s="3"/>
      <c r="Q1563" s="6" t="s">
        <v>16</v>
      </c>
      <c r="R1563" s="6"/>
    </row>
    <row r="1564" spans="2:58" s="2" customFormat="1" ht="15">
      <c r="L1564" s="3"/>
      <c r="M1564" s="6"/>
      <c r="N1564" s="6"/>
      <c r="O1564" s="7"/>
      <c r="P1564" s="3"/>
      <c r="Q1564" s="6" t="s">
        <v>16</v>
      </c>
      <c r="R1564" s="6"/>
    </row>
    <row r="1565" spans="2:58" s="2" customFormat="1" ht="15">
      <c r="B1565" s="2">
        <v>6</v>
      </c>
      <c r="C1565" s="1">
        <v>43654</v>
      </c>
      <c r="E1565" s="2" t="s">
        <v>85</v>
      </c>
      <c r="G1565" s="4" t="s">
        <v>107</v>
      </c>
      <c r="H1565" s="2" t="s">
        <v>106</v>
      </c>
      <c r="J1565" s="2">
        <v>1</v>
      </c>
      <c r="L1565" s="3">
        <v>29.5</v>
      </c>
      <c r="M1565" s="6">
        <f t="shared" si="2450"/>
        <v>2.95</v>
      </c>
      <c r="N1565" s="6">
        <v>1.6</v>
      </c>
      <c r="O1565" s="7"/>
      <c r="P1565" s="3"/>
      <c r="Q1565" s="6">
        <f t="shared" ref="Q1565:Q1570" si="2452">+L1565-M1565-N1565+P1565</f>
        <v>24.95</v>
      </c>
      <c r="R1565" s="6"/>
      <c r="S1565" s="2">
        <v>23.52</v>
      </c>
      <c r="T1565" s="2">
        <v>2.7</v>
      </c>
      <c r="X1565" s="2">
        <f t="shared" ref="X1565:X1570" si="2453">+S1565+T1565-W1565</f>
        <v>26.22</v>
      </c>
      <c r="Y1565" s="6">
        <f t="shared" ref="Y1565:Y1570" si="2454">+Q1565-X1565</f>
        <v>-1.2699999999999996</v>
      </c>
      <c r="AG1565" s="2" t="s">
        <v>13</v>
      </c>
      <c r="AH1565" s="2" t="s">
        <v>105</v>
      </c>
    </row>
    <row r="1566" spans="2:58" s="2" customFormat="1" ht="15">
      <c r="C1566" s="1">
        <v>43654</v>
      </c>
      <c r="E1566" s="2" t="s">
        <v>35</v>
      </c>
      <c r="G1566" s="2" t="s">
        <v>104</v>
      </c>
      <c r="H1566" s="2" t="s">
        <v>103</v>
      </c>
      <c r="J1566" s="2">
        <v>1</v>
      </c>
      <c r="K1566" s="2" t="s">
        <v>258</v>
      </c>
      <c r="L1566" s="3">
        <v>43.9</v>
      </c>
      <c r="M1566" s="6">
        <f t="shared" si="2450"/>
        <v>4.3899999999999997</v>
      </c>
      <c r="N1566" s="6">
        <f t="shared" si="2451"/>
        <v>2.1949999999999998</v>
      </c>
      <c r="O1566" s="7"/>
      <c r="P1566" s="3"/>
      <c r="Q1566" s="6">
        <f t="shared" si="2452"/>
        <v>37.314999999999998</v>
      </c>
      <c r="R1566" s="6"/>
      <c r="S1566" s="2">
        <v>26.59</v>
      </c>
      <c r="T1566" s="2">
        <v>2.33</v>
      </c>
      <c r="X1566" s="2">
        <f t="shared" si="2453"/>
        <v>28.92</v>
      </c>
      <c r="Y1566" s="6">
        <f t="shared" si="2454"/>
        <v>8.394999999999996</v>
      </c>
      <c r="Z1566" s="6">
        <f>+Y1566</f>
        <v>8.394999999999996</v>
      </c>
      <c r="AA1566" s="6"/>
      <c r="AB1566" s="6"/>
      <c r="AC1566" s="6"/>
      <c r="AG1566" s="2" t="s">
        <v>70</v>
      </c>
      <c r="AH1566" s="2" t="s">
        <v>102</v>
      </c>
    </row>
    <row r="1567" spans="2:58" s="2" customFormat="1" ht="15">
      <c r="C1567" s="1">
        <v>43654</v>
      </c>
      <c r="E1567" s="2" t="s">
        <v>61</v>
      </c>
      <c r="G1567" s="2" t="s">
        <v>392</v>
      </c>
      <c r="H1567" s="2" t="s">
        <v>101</v>
      </c>
      <c r="J1567" s="2">
        <v>1</v>
      </c>
      <c r="L1567" s="3">
        <v>28.5</v>
      </c>
      <c r="M1567" s="6">
        <f t="shared" si="2450"/>
        <v>2.85</v>
      </c>
      <c r="N1567" s="6">
        <f t="shared" si="2451"/>
        <v>1.425</v>
      </c>
      <c r="O1567" s="7"/>
      <c r="P1567" s="3"/>
      <c r="Q1567" s="6">
        <f t="shared" si="2452"/>
        <v>24.224999999999998</v>
      </c>
      <c r="R1567" s="6"/>
      <c r="S1567" s="2">
        <v>19</v>
      </c>
      <c r="T1567" s="2">
        <v>1.1399999999999999</v>
      </c>
      <c r="X1567" s="2">
        <f t="shared" si="2453"/>
        <v>20.14</v>
      </c>
      <c r="Y1567" s="6">
        <f t="shared" si="2454"/>
        <v>4.0849999999999973</v>
      </c>
      <c r="AB1567" s="6">
        <f>+Y1567</f>
        <v>4.0849999999999973</v>
      </c>
      <c r="AG1567" s="2" t="s">
        <v>100</v>
      </c>
      <c r="AH1567" s="2" t="s">
        <v>99</v>
      </c>
    </row>
    <row r="1568" spans="2:58" s="2" customFormat="1" ht="15">
      <c r="C1568" s="1">
        <v>43654</v>
      </c>
      <c r="E1568" s="2" t="s">
        <v>86</v>
      </c>
      <c r="G1568" s="2" t="s">
        <v>98</v>
      </c>
      <c r="H1568" s="2" t="s">
        <v>97</v>
      </c>
      <c r="J1568" s="2">
        <v>2</v>
      </c>
      <c r="K1568" s="2" t="s">
        <v>258</v>
      </c>
      <c r="L1568" s="3">
        <v>59</v>
      </c>
      <c r="M1568" s="6">
        <f t="shared" si="2450"/>
        <v>5.9</v>
      </c>
      <c r="N1568" s="6">
        <v>3.08</v>
      </c>
      <c r="O1568" s="7"/>
      <c r="P1568" s="3">
        <v>4.13</v>
      </c>
      <c r="Q1568" s="6">
        <f t="shared" si="2452"/>
        <v>54.150000000000006</v>
      </c>
      <c r="R1568" s="6"/>
      <c r="S1568" s="2">
        <v>29.96</v>
      </c>
      <c r="T1568" s="2">
        <v>2.54</v>
      </c>
      <c r="X1568" s="2">
        <f t="shared" si="2453"/>
        <v>32.5</v>
      </c>
      <c r="Y1568" s="6">
        <f t="shared" si="2454"/>
        <v>21.650000000000006</v>
      </c>
      <c r="AD1568" s="6">
        <f>+Y1568</f>
        <v>21.650000000000006</v>
      </c>
      <c r="AG1568" s="2" t="s">
        <v>96</v>
      </c>
      <c r="AH1568" s="2" t="s">
        <v>95</v>
      </c>
    </row>
    <row r="1569" spans="2:58" s="2" customFormat="1" ht="15">
      <c r="C1569" s="1">
        <v>43654</v>
      </c>
      <c r="E1569" s="2" t="s">
        <v>131</v>
      </c>
      <c r="G1569" s="2" t="s">
        <v>93</v>
      </c>
      <c r="H1569" s="2" t="s">
        <v>94</v>
      </c>
      <c r="J1569" s="2">
        <v>1</v>
      </c>
      <c r="L1569" s="3">
        <v>52.6</v>
      </c>
      <c r="M1569" s="6">
        <f t="shared" si="2450"/>
        <v>5.2600000000000007</v>
      </c>
      <c r="N1569" s="6">
        <v>2.61</v>
      </c>
      <c r="O1569" s="7"/>
      <c r="P1569" s="3"/>
      <c r="Q1569" s="6">
        <f t="shared" si="2452"/>
        <v>44.730000000000004</v>
      </c>
      <c r="R1569" s="6"/>
      <c r="S1569" s="2">
        <v>43.89</v>
      </c>
      <c r="T1569" s="2">
        <v>2.56</v>
      </c>
      <c r="W1569" s="2">
        <v>1.1499999999999999</v>
      </c>
      <c r="X1569" s="2">
        <f t="shared" si="2453"/>
        <v>45.300000000000004</v>
      </c>
      <c r="Y1569" s="6">
        <f t="shared" si="2454"/>
        <v>-0.57000000000000028</v>
      </c>
      <c r="Z1569" s="2" t="s">
        <v>16</v>
      </c>
      <c r="AE1569" s="6">
        <f>+Y1569</f>
        <v>-0.57000000000000028</v>
      </c>
      <c r="AF1569" s="6"/>
      <c r="AG1569" s="2" t="s">
        <v>92</v>
      </c>
      <c r="AH1569" s="2" t="s">
        <v>91</v>
      </c>
    </row>
    <row r="1570" spans="2:58" s="2" customFormat="1" ht="15">
      <c r="C1570" s="1">
        <v>43654</v>
      </c>
      <c r="E1570" s="2" t="s">
        <v>87</v>
      </c>
      <c r="G1570" s="2" t="s">
        <v>90</v>
      </c>
      <c r="H1570" s="2" t="s">
        <v>89</v>
      </c>
      <c r="J1570" s="2">
        <v>1</v>
      </c>
      <c r="L1570" s="3">
        <v>32.5</v>
      </c>
      <c r="M1570" s="6">
        <f t="shared" si="2450"/>
        <v>3.25</v>
      </c>
      <c r="N1570" s="6">
        <v>1.73</v>
      </c>
      <c r="O1570" s="7"/>
      <c r="P1570" s="3"/>
      <c r="Q1570" s="6">
        <f t="shared" si="2452"/>
        <v>27.52</v>
      </c>
      <c r="R1570" s="6"/>
      <c r="S1570" s="2">
        <v>24.09</v>
      </c>
      <c r="T1570" s="2">
        <v>2.08</v>
      </c>
      <c r="X1570" s="2">
        <f t="shared" si="2453"/>
        <v>26.17</v>
      </c>
      <c r="Y1570" s="6">
        <f t="shared" si="2454"/>
        <v>1.3499999999999979</v>
      </c>
      <c r="AE1570" s="6">
        <f>+Y1570</f>
        <v>1.3499999999999979</v>
      </c>
      <c r="AF1570" s="6"/>
      <c r="AG1570" s="2" t="s">
        <v>70</v>
      </c>
      <c r="AH1570" s="2" t="s">
        <v>88</v>
      </c>
    </row>
    <row r="1571" spans="2:58" s="2" customFormat="1" ht="15">
      <c r="L1571" s="3"/>
      <c r="M1571" s="6"/>
      <c r="N1571" s="6"/>
      <c r="O1571" s="7"/>
      <c r="P1571" s="3"/>
      <c r="Q1571" s="6" t="s">
        <v>16</v>
      </c>
      <c r="R1571" s="6"/>
      <c r="X1571" s="2" t="s">
        <v>16</v>
      </c>
    </row>
    <row r="1572" spans="2:58" s="2" customFormat="1" ht="15">
      <c r="B1572" s="2">
        <v>4</v>
      </c>
      <c r="C1572" s="1">
        <v>43653</v>
      </c>
      <c r="E1572" s="2" t="s">
        <v>71</v>
      </c>
      <c r="G1572" s="2" t="s">
        <v>72</v>
      </c>
      <c r="H1572" s="2" t="s">
        <v>84</v>
      </c>
      <c r="J1572" s="2">
        <v>1</v>
      </c>
      <c r="L1572" s="3">
        <v>38.5</v>
      </c>
      <c r="M1572" s="6">
        <f t="shared" si="2450"/>
        <v>3.85</v>
      </c>
      <c r="N1572" s="6">
        <v>1.99</v>
      </c>
      <c r="O1572" s="7"/>
      <c r="P1572" s="3"/>
      <c r="Q1572" s="6">
        <f>+L1572-M1572-N1572+P1572</f>
        <v>32.659999999999997</v>
      </c>
      <c r="R1572" s="6"/>
      <c r="S1572" s="2">
        <v>36.979999999999997</v>
      </c>
      <c r="T1572" s="2">
        <v>3.46</v>
      </c>
      <c r="X1572" s="2">
        <f>+S1572+T1572-W1572</f>
        <v>40.44</v>
      </c>
      <c r="Y1572" s="6">
        <f>+Q1572-X1572</f>
        <v>-7.7800000000000011</v>
      </c>
      <c r="Z1572" s="2" t="s">
        <v>16</v>
      </c>
      <c r="AE1572" s="6">
        <f>+Y1572</f>
        <v>-7.7800000000000011</v>
      </c>
      <c r="AF1572" s="6"/>
      <c r="AG1572" s="2" t="s">
        <v>64</v>
      </c>
      <c r="AH1572" s="2" t="s">
        <v>83</v>
      </c>
    </row>
    <row r="1573" spans="2:58" s="2" customFormat="1" ht="15">
      <c r="C1573" s="1">
        <v>43653</v>
      </c>
      <c r="E1573" s="2" t="s">
        <v>60</v>
      </c>
      <c r="G1573" s="2" t="s">
        <v>73</v>
      </c>
      <c r="H1573" s="2" t="s">
        <v>82</v>
      </c>
      <c r="J1573" s="2">
        <v>1</v>
      </c>
      <c r="L1573" s="3">
        <v>35.5</v>
      </c>
      <c r="M1573" s="6">
        <f t="shared" si="2450"/>
        <v>3.5500000000000003</v>
      </c>
      <c r="N1573" s="6">
        <f t="shared" si="2451"/>
        <v>1.7750000000000001</v>
      </c>
      <c r="O1573" s="7"/>
      <c r="P1573" s="3">
        <v>2.4900000000000002</v>
      </c>
      <c r="Q1573" s="6">
        <f>+L1573-M1573-N1573+P1573</f>
        <v>32.664999999999999</v>
      </c>
      <c r="R1573" s="6"/>
      <c r="S1573" s="2">
        <v>24.95</v>
      </c>
      <c r="T1573" s="2">
        <v>1.75</v>
      </c>
      <c r="X1573" s="2">
        <f>+S1573+T1573-W1573</f>
        <v>26.7</v>
      </c>
      <c r="Y1573" s="6">
        <f>+Q1573-X1573</f>
        <v>5.9649999999999999</v>
      </c>
      <c r="AB1573" s="6">
        <f>+Y1573</f>
        <v>5.9649999999999999</v>
      </c>
      <c r="AG1573" s="2" t="s">
        <v>81</v>
      </c>
      <c r="AH1573" s="2" t="s">
        <v>80</v>
      </c>
    </row>
    <row r="1574" spans="2:58" s="2" customFormat="1" ht="15">
      <c r="C1574" s="1">
        <v>43653</v>
      </c>
      <c r="E1574" s="2" t="s">
        <v>131</v>
      </c>
      <c r="G1574" s="2" t="s">
        <v>74</v>
      </c>
      <c r="H1574" s="5" t="s">
        <v>79</v>
      </c>
      <c r="J1574" s="2">
        <v>1</v>
      </c>
      <c r="L1574" s="3"/>
      <c r="M1574" s="6"/>
      <c r="N1574" s="6"/>
      <c r="O1574" s="7"/>
      <c r="P1574" s="3"/>
      <c r="Q1574" s="6" t="s">
        <v>16</v>
      </c>
      <c r="R1574" s="6"/>
    </row>
    <row r="1575" spans="2:58" s="2" customFormat="1" ht="15">
      <c r="C1575" s="1">
        <v>43653</v>
      </c>
      <c r="E1575" s="2" t="s">
        <v>60</v>
      </c>
      <c r="G1575" s="2" t="s">
        <v>75</v>
      </c>
      <c r="H1575" s="2" t="s">
        <v>78</v>
      </c>
      <c r="J1575" s="2">
        <v>1</v>
      </c>
      <c r="L1575" s="3">
        <v>35.5</v>
      </c>
      <c r="M1575" s="6">
        <f t="shared" si="2450"/>
        <v>3.5500000000000003</v>
      </c>
      <c r="N1575" s="6">
        <f t="shared" si="2451"/>
        <v>1.7750000000000001</v>
      </c>
      <c r="O1575" s="7"/>
      <c r="P1575" s="3">
        <v>1.6</v>
      </c>
      <c r="Q1575" s="6">
        <f>+L1575-M1575-N1575+P1575</f>
        <v>31.775000000000002</v>
      </c>
      <c r="R1575" s="6"/>
      <c r="S1575" s="2">
        <v>24.95</v>
      </c>
      <c r="T1575" s="2">
        <v>2.48</v>
      </c>
      <c r="X1575" s="2">
        <f>+S1575+T1575-W1575</f>
        <v>27.43</v>
      </c>
      <c r="Y1575" s="6">
        <f>+Q1575-X1575</f>
        <v>4.3450000000000024</v>
      </c>
      <c r="AB1575" s="6">
        <f>+Y1575</f>
        <v>4.3450000000000024</v>
      </c>
      <c r="AG1575" s="2" t="s">
        <v>77</v>
      </c>
      <c r="AH1575" s="2" t="s">
        <v>76</v>
      </c>
    </row>
    <row r="1576" spans="2:58" s="2" customFormat="1" ht="15">
      <c r="L1576" s="3"/>
      <c r="M1576" s="6"/>
      <c r="N1576" s="6"/>
      <c r="O1576" s="7"/>
      <c r="P1576" s="3"/>
      <c r="Q1576" s="6" t="s">
        <v>16</v>
      </c>
      <c r="R1576" s="6"/>
      <c r="X1576" s="2" t="s">
        <v>16</v>
      </c>
    </row>
    <row r="1577" spans="2:58" s="2" customFormat="1" ht="15">
      <c r="B1577" s="2">
        <v>2</v>
      </c>
      <c r="C1577" s="1">
        <v>43652</v>
      </c>
      <c r="E1577" s="2" t="s">
        <v>60</v>
      </c>
      <c r="G1577" s="2" t="s">
        <v>66</v>
      </c>
      <c r="H1577" s="2" t="s">
        <v>68</v>
      </c>
      <c r="J1577" s="2">
        <v>1</v>
      </c>
      <c r="L1577" s="3">
        <v>35.5</v>
      </c>
      <c r="M1577" s="6">
        <f t="shared" si="2450"/>
        <v>3.5500000000000003</v>
      </c>
      <c r="N1577" s="6">
        <f t="shared" si="2451"/>
        <v>1.7750000000000001</v>
      </c>
      <c r="O1577" s="7"/>
      <c r="P1577" s="3"/>
      <c r="Q1577" s="6">
        <f>+L1577-M1577-N1577+P1577</f>
        <v>30.175000000000001</v>
      </c>
      <c r="R1577" s="6"/>
      <c r="S1577" s="2">
        <v>24.95</v>
      </c>
      <c r="T1577" s="2">
        <v>2.21</v>
      </c>
      <c r="X1577" s="2">
        <f>+S1577+T1577-W1577</f>
        <v>27.16</v>
      </c>
      <c r="Y1577" s="6">
        <f>+Q1577-X1577</f>
        <v>3.0150000000000006</v>
      </c>
      <c r="AB1577" s="6">
        <f>+Y1577</f>
        <v>3.0150000000000006</v>
      </c>
      <c r="AG1577" s="2" t="s">
        <v>70</v>
      </c>
      <c r="AH1577" s="2" t="s">
        <v>69</v>
      </c>
    </row>
    <row r="1578" spans="2:58" s="2" customFormat="1" ht="15">
      <c r="C1578" s="1">
        <v>43652</v>
      </c>
      <c r="E1578" s="2" t="s">
        <v>35</v>
      </c>
      <c r="G1578" s="2" t="s">
        <v>65</v>
      </c>
      <c r="H1578" s="2" t="s">
        <v>67</v>
      </c>
      <c r="J1578" s="2">
        <v>1</v>
      </c>
      <c r="L1578" s="3">
        <v>47.5</v>
      </c>
      <c r="M1578" s="6">
        <f t="shared" si="2450"/>
        <v>4.75</v>
      </c>
      <c r="N1578" s="6">
        <f t="shared" si="2451"/>
        <v>2.375</v>
      </c>
      <c r="O1578" s="7"/>
      <c r="P1578" s="3"/>
      <c r="Q1578" s="6">
        <f>+L1578-M1578-N1578+P1578</f>
        <v>40.375</v>
      </c>
      <c r="R1578" s="6"/>
      <c r="S1578" s="2">
        <v>26.99</v>
      </c>
      <c r="T1578" s="2">
        <v>1.62</v>
      </c>
      <c r="X1578" s="2">
        <f>+S1578+T1578-W1578</f>
        <v>28.61</v>
      </c>
      <c r="Y1578" s="6">
        <f>+Q1578-X1578</f>
        <v>11.765000000000001</v>
      </c>
      <c r="Z1578" s="6">
        <f>+Y1578</f>
        <v>11.765000000000001</v>
      </c>
      <c r="AA1578" s="6"/>
      <c r="AB1578" s="6"/>
      <c r="AC1578" s="6"/>
      <c r="AG1578" s="2" t="s">
        <v>64</v>
      </c>
      <c r="AH1578" s="2" t="s">
        <v>63</v>
      </c>
    </row>
    <row r="1579" spans="2:58" s="2" customFormat="1" ht="15">
      <c r="L1579" s="3"/>
      <c r="M1579" s="6"/>
      <c r="N1579" s="6"/>
      <c r="O1579" s="7"/>
      <c r="P1579" s="3"/>
      <c r="Q1579" s="6" t="s">
        <v>16</v>
      </c>
      <c r="R1579" s="6"/>
    </row>
    <row r="1580" spans="2:58">
      <c r="B1580" s="2">
        <v>7</v>
      </c>
      <c r="C1580" s="1">
        <v>43651</v>
      </c>
      <c r="E1580" s="2" t="s">
        <v>61</v>
      </c>
      <c r="F1580" s="2"/>
      <c r="G1580" s="2" t="s">
        <v>37</v>
      </c>
      <c r="H1580" s="2" t="s">
        <v>50</v>
      </c>
      <c r="I1580" s="2"/>
      <c r="J1580" s="2">
        <v>1</v>
      </c>
      <c r="K1580" s="2"/>
      <c r="L1580" s="2">
        <v>28</v>
      </c>
      <c r="M1580" s="6">
        <f t="shared" si="2450"/>
        <v>2.8000000000000003</v>
      </c>
      <c r="N1580" s="6">
        <f t="shared" si="2451"/>
        <v>1.4000000000000001</v>
      </c>
      <c r="O1580" s="7"/>
      <c r="P1580" s="2"/>
      <c r="Q1580" s="6">
        <f t="shared" ref="Q1580:Q1586" si="2455">+L1580-M1580-N1580+P1580</f>
        <v>23.8</v>
      </c>
      <c r="R1580" s="6"/>
      <c r="S1580" s="2">
        <v>19</v>
      </c>
      <c r="T1580" s="2">
        <v>1.24</v>
      </c>
      <c r="U1580" s="2"/>
      <c r="V1580" s="2"/>
      <c r="W1580" s="2"/>
      <c r="X1580" s="2">
        <f t="shared" ref="X1580:X1586" si="2456">+S1580+T1580-W1580</f>
        <v>20.239999999999998</v>
      </c>
      <c r="Y1580" s="6">
        <f t="shared" ref="Y1580:Y1586" si="2457">+Q1580-X1580</f>
        <v>3.5600000000000023</v>
      </c>
      <c r="Z1580" s="2"/>
      <c r="AA1580" s="2"/>
      <c r="AB1580" s="6">
        <f>+Y1580</f>
        <v>3.5600000000000023</v>
      </c>
      <c r="AC1580" s="2"/>
      <c r="AD1580" s="2"/>
      <c r="AE1580" s="2"/>
      <c r="AF1580" s="2"/>
      <c r="AG1580" s="2" t="s">
        <v>59</v>
      </c>
      <c r="AH1580" s="2" t="s">
        <v>58</v>
      </c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  <c r="AZ1580" s="2"/>
      <c r="BA1580" s="2"/>
      <c r="BB1580" s="2"/>
      <c r="BC1580" s="2"/>
      <c r="BD1580" s="2"/>
      <c r="BE1580" s="2"/>
      <c r="BF1580" s="2"/>
    </row>
    <row r="1581" spans="2:58">
      <c r="B1581" s="2"/>
      <c r="C1581" s="1">
        <v>43651</v>
      </c>
      <c r="E1581" s="2" t="s">
        <v>131</v>
      </c>
      <c r="F1581" s="2"/>
      <c r="G1581" s="2" t="s">
        <v>38</v>
      </c>
      <c r="H1581" s="2" t="s">
        <v>49</v>
      </c>
      <c r="I1581" s="2"/>
      <c r="J1581" s="2">
        <v>1</v>
      </c>
      <c r="K1581" s="2"/>
      <c r="L1581" s="2">
        <v>46</v>
      </c>
      <c r="M1581" s="6">
        <f t="shared" si="2450"/>
        <v>4.6000000000000005</v>
      </c>
      <c r="N1581" s="6">
        <v>2.56</v>
      </c>
      <c r="O1581" s="7"/>
      <c r="P1581" s="2">
        <v>5.29</v>
      </c>
      <c r="Q1581" s="6">
        <f t="shared" si="2455"/>
        <v>44.129999999999995</v>
      </c>
      <c r="R1581" s="6"/>
      <c r="S1581" s="2">
        <v>43.89</v>
      </c>
      <c r="T1581" s="2">
        <v>4.6500000000000004</v>
      </c>
      <c r="U1581" s="2"/>
      <c r="V1581" s="2"/>
      <c r="W1581" s="2"/>
      <c r="X1581" s="2">
        <f t="shared" si="2456"/>
        <v>48.54</v>
      </c>
      <c r="Y1581" s="6">
        <f t="shared" si="2457"/>
        <v>-4.4100000000000037</v>
      </c>
      <c r="Z1581" s="2"/>
      <c r="AA1581" s="2"/>
      <c r="AB1581" s="2"/>
      <c r="AC1581" s="2"/>
      <c r="AD1581" s="2"/>
      <c r="AE1581" s="6">
        <f>+Y1581</f>
        <v>-4.4100000000000037</v>
      </c>
      <c r="AF1581" s="6"/>
      <c r="AG1581" s="2" t="s">
        <v>13</v>
      </c>
      <c r="AH1581" s="2" t="s">
        <v>57</v>
      </c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  <c r="AZ1581" s="2"/>
      <c r="BA1581" s="2"/>
      <c r="BB1581" s="2"/>
      <c r="BC1581" s="2"/>
      <c r="BD1581" s="2"/>
      <c r="BE1581" s="2"/>
      <c r="BF1581" s="2"/>
    </row>
    <row r="1582" spans="2:58">
      <c r="B1582" s="2"/>
      <c r="C1582" s="1">
        <v>43651</v>
      </c>
      <c r="E1582" s="2" t="s">
        <v>61</v>
      </c>
      <c r="F1582" s="2"/>
      <c r="G1582" s="2" t="s">
        <v>39</v>
      </c>
      <c r="H1582" s="2" t="s">
        <v>48</v>
      </c>
      <c r="I1582" s="2"/>
      <c r="J1582" s="2">
        <v>1</v>
      </c>
      <c r="K1582" s="2"/>
      <c r="L1582" s="2">
        <v>28</v>
      </c>
      <c r="M1582" s="6">
        <f t="shared" si="2450"/>
        <v>2.8000000000000003</v>
      </c>
      <c r="N1582" s="6">
        <f t="shared" si="2451"/>
        <v>1.4000000000000001</v>
      </c>
      <c r="O1582" s="7"/>
      <c r="P1582" s="2"/>
      <c r="Q1582" s="6">
        <f t="shared" si="2455"/>
        <v>23.8</v>
      </c>
      <c r="R1582" s="6"/>
      <c r="S1582" s="2">
        <v>19</v>
      </c>
      <c r="T1582" s="2"/>
      <c r="U1582" s="2"/>
      <c r="V1582" s="2"/>
      <c r="W1582" s="2"/>
      <c r="X1582" s="2">
        <f t="shared" si="2456"/>
        <v>19</v>
      </c>
      <c r="Y1582" s="6">
        <f t="shared" si="2457"/>
        <v>4.8000000000000007</v>
      </c>
      <c r="Z1582" s="2"/>
      <c r="AA1582" s="2"/>
      <c r="AB1582" s="6">
        <f>+Y1582</f>
        <v>4.8000000000000007</v>
      </c>
      <c r="AC1582" s="2"/>
      <c r="AD1582" s="2"/>
      <c r="AE1582" s="2"/>
      <c r="AF1582" s="2"/>
      <c r="AG1582" s="2" t="s">
        <v>56</v>
      </c>
      <c r="AH1582" s="4" t="s">
        <v>55</v>
      </c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  <c r="AZ1582" s="2"/>
      <c r="BA1582" s="2"/>
      <c r="BB1582" s="2"/>
      <c r="BC1582" s="2"/>
      <c r="BD1582" s="2"/>
      <c r="BE1582" s="2"/>
      <c r="BF1582" s="2"/>
    </row>
    <row r="1583" spans="2:58">
      <c r="B1583" s="2"/>
      <c r="C1583" s="1">
        <v>43651</v>
      </c>
      <c r="E1583" s="2" t="s">
        <v>62</v>
      </c>
      <c r="F1583" s="2"/>
      <c r="G1583" s="2" t="s">
        <v>40</v>
      </c>
      <c r="H1583" s="2" t="s">
        <v>47</v>
      </c>
      <c r="I1583" s="2"/>
      <c r="J1583" s="2">
        <v>1</v>
      </c>
      <c r="K1583" s="2"/>
      <c r="L1583" s="2">
        <v>53.5</v>
      </c>
      <c r="M1583" s="6">
        <f t="shared" si="2450"/>
        <v>5.3500000000000005</v>
      </c>
      <c r="N1583" s="6">
        <f t="shared" si="2451"/>
        <v>2.6750000000000003</v>
      </c>
      <c r="O1583" s="7"/>
      <c r="P1583" s="2">
        <v>4.82</v>
      </c>
      <c r="Q1583" s="6">
        <f t="shared" si="2455"/>
        <v>50.295000000000002</v>
      </c>
      <c r="R1583" s="6"/>
      <c r="S1583" s="2">
        <v>39.99</v>
      </c>
      <c r="T1583" s="2">
        <v>2.89</v>
      </c>
      <c r="U1583" s="2"/>
      <c r="V1583" s="2"/>
      <c r="W1583" s="2"/>
      <c r="X1583" s="2">
        <f t="shared" si="2456"/>
        <v>42.88</v>
      </c>
      <c r="Y1583" s="6">
        <f t="shared" si="2457"/>
        <v>7.4149999999999991</v>
      </c>
      <c r="Z1583" s="2"/>
      <c r="AA1583" s="2"/>
      <c r="AB1583" s="6">
        <f>+Y1583</f>
        <v>7.4149999999999991</v>
      </c>
      <c r="AC1583" s="6"/>
      <c r="AD1583" s="2"/>
      <c r="AE1583" s="2"/>
      <c r="AF1583" s="2"/>
      <c r="AG1583" s="2" t="s">
        <v>26</v>
      </c>
      <c r="AH1583" s="2" t="s">
        <v>54</v>
      </c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  <c r="AZ1583" s="2"/>
      <c r="BA1583" s="2"/>
      <c r="BB1583" s="2"/>
      <c r="BC1583" s="2"/>
      <c r="BD1583" s="2"/>
      <c r="BE1583" s="2"/>
      <c r="BF1583" s="2"/>
    </row>
    <row r="1584" spans="2:58">
      <c r="B1584" s="2"/>
      <c r="C1584" s="1">
        <v>43651</v>
      </c>
      <c r="E1584" s="2" t="s">
        <v>36</v>
      </c>
      <c r="F1584" s="2"/>
      <c r="G1584" s="2" t="s">
        <v>41</v>
      </c>
      <c r="H1584" s="2" t="s">
        <v>46</v>
      </c>
      <c r="I1584" s="2"/>
      <c r="J1584" s="2">
        <v>1</v>
      </c>
      <c r="K1584" s="2"/>
      <c r="L1584" s="2">
        <v>21.5</v>
      </c>
      <c r="M1584" s="6">
        <f t="shared" si="2450"/>
        <v>2.15</v>
      </c>
      <c r="N1584" s="6">
        <v>1.25</v>
      </c>
      <c r="O1584" s="7"/>
      <c r="P1584" s="2">
        <v>2.4700000000000002</v>
      </c>
      <c r="Q1584" s="6">
        <f t="shared" si="2455"/>
        <v>20.57</v>
      </c>
      <c r="R1584" s="6"/>
      <c r="S1584" s="2">
        <v>13.99</v>
      </c>
      <c r="T1584" s="2">
        <v>1.61</v>
      </c>
      <c r="U1584" s="2"/>
      <c r="V1584" s="2"/>
      <c r="W1584" s="2"/>
      <c r="X1584" s="2">
        <f t="shared" si="2456"/>
        <v>15.6</v>
      </c>
      <c r="Y1584" s="2">
        <f t="shared" si="2457"/>
        <v>4.9700000000000006</v>
      </c>
      <c r="Z1584" s="2"/>
      <c r="AA1584" s="2"/>
      <c r="AB1584" s="2"/>
      <c r="AC1584" s="2"/>
      <c r="AD1584" s="2"/>
      <c r="AE1584" s="2">
        <f>+Y1584</f>
        <v>4.9700000000000006</v>
      </c>
      <c r="AF1584" s="2"/>
      <c r="AG1584" s="2" t="s">
        <v>13</v>
      </c>
      <c r="AH1584" s="2" t="s">
        <v>53</v>
      </c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  <c r="AZ1584" s="2"/>
      <c r="BA1584" s="2"/>
      <c r="BB1584" s="2"/>
      <c r="BC1584" s="2"/>
      <c r="BD1584" s="2"/>
      <c r="BE1584" s="2"/>
      <c r="BF1584" s="2"/>
    </row>
    <row r="1585" spans="2:58">
      <c r="B1585" s="2"/>
      <c r="C1585" s="1">
        <v>43651</v>
      </c>
      <c r="E1585" s="2" t="s">
        <v>35</v>
      </c>
      <c r="F1585" s="2"/>
      <c r="G1585" s="2" t="s">
        <v>42</v>
      </c>
      <c r="H1585" s="2" t="s">
        <v>45</v>
      </c>
      <c r="I1585" s="2"/>
      <c r="J1585" s="2">
        <v>1</v>
      </c>
      <c r="K1585" s="2"/>
      <c r="L1585" s="2">
        <v>45.5</v>
      </c>
      <c r="M1585" s="6">
        <f t="shared" si="2450"/>
        <v>4.55</v>
      </c>
      <c r="N1585" s="6">
        <f t="shared" si="2451"/>
        <v>2.2749999999999999</v>
      </c>
      <c r="O1585" s="7"/>
      <c r="P1585" s="2"/>
      <c r="Q1585" s="6">
        <f t="shared" si="2455"/>
        <v>38.675000000000004</v>
      </c>
      <c r="R1585" s="6"/>
      <c r="S1585" s="2">
        <v>26.99</v>
      </c>
      <c r="T1585" s="2">
        <v>3.1</v>
      </c>
      <c r="U1585" s="2"/>
      <c r="V1585" s="2"/>
      <c r="W1585" s="2"/>
      <c r="X1585" s="2">
        <f t="shared" si="2456"/>
        <v>30.09</v>
      </c>
      <c r="Y1585" s="6">
        <f t="shared" si="2457"/>
        <v>8.5850000000000044</v>
      </c>
      <c r="Z1585" s="6">
        <f>+Y1585</f>
        <v>8.5850000000000044</v>
      </c>
      <c r="AA1585" s="6"/>
      <c r="AB1585" s="6"/>
      <c r="AC1585" s="6"/>
      <c r="AD1585" s="2"/>
      <c r="AE1585" s="2"/>
      <c r="AF1585" s="2"/>
      <c r="AG1585" s="2" t="s">
        <v>13</v>
      </c>
      <c r="AH1585" s="2" t="s">
        <v>52</v>
      </c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  <c r="AZ1585" s="2"/>
      <c r="BA1585" s="2"/>
      <c r="BB1585" s="2"/>
      <c r="BC1585" s="2"/>
      <c r="BD1585" s="2"/>
      <c r="BE1585" s="2"/>
      <c r="BF1585" s="2"/>
    </row>
    <row r="1586" spans="2:58">
      <c r="B1586" s="2"/>
      <c r="C1586" s="1">
        <v>43651</v>
      </c>
      <c r="E1586" s="2" t="s">
        <v>34</v>
      </c>
      <c r="F1586" s="2"/>
      <c r="G1586" s="2" t="s">
        <v>43</v>
      </c>
      <c r="H1586" s="2" t="s">
        <v>44</v>
      </c>
      <c r="I1586" s="2"/>
      <c r="J1586" s="2">
        <v>1</v>
      </c>
      <c r="K1586" s="2"/>
      <c r="L1586" s="2">
        <v>30.65</v>
      </c>
      <c r="M1586" s="6">
        <f t="shared" si="2450"/>
        <v>3.0649999999999999</v>
      </c>
      <c r="N1586" s="6">
        <v>1.65</v>
      </c>
      <c r="O1586" s="7"/>
      <c r="P1586" s="2"/>
      <c r="Q1586" s="6">
        <f t="shared" si="2455"/>
        <v>25.934999999999999</v>
      </c>
      <c r="R1586" s="6"/>
      <c r="S1586" s="2">
        <v>20.99</v>
      </c>
      <c r="T1586" s="2">
        <v>2.41</v>
      </c>
      <c r="U1586" s="2"/>
      <c r="V1586" s="2"/>
      <c r="W1586" s="2"/>
      <c r="X1586" s="2">
        <f t="shared" si="2456"/>
        <v>23.4</v>
      </c>
      <c r="Y1586" s="6">
        <f t="shared" si="2457"/>
        <v>2.5350000000000001</v>
      </c>
      <c r="Z1586" s="2"/>
      <c r="AA1586" s="2"/>
      <c r="AB1586" s="2"/>
      <c r="AC1586" s="2"/>
      <c r="AD1586" s="2"/>
      <c r="AE1586" s="6">
        <f>+Y1586</f>
        <v>2.5350000000000001</v>
      </c>
      <c r="AF1586" s="6"/>
      <c r="AG1586" s="2" t="s">
        <v>13</v>
      </c>
      <c r="AH1586" s="2" t="s">
        <v>51</v>
      </c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  <c r="AZ1586" s="2"/>
      <c r="BA1586" s="2"/>
      <c r="BB1586" s="2"/>
      <c r="BC1586" s="2"/>
      <c r="BD1586" s="2"/>
      <c r="BE1586" s="2"/>
      <c r="BF1586" s="2"/>
    </row>
    <row r="1587" spans="2:58">
      <c r="B1587" s="2"/>
      <c r="C1587" t="s">
        <v>16</v>
      </c>
      <c r="E1587" s="2" t="s">
        <v>16</v>
      </c>
      <c r="F1587" s="2"/>
      <c r="G1587" s="2"/>
      <c r="H1587" s="2"/>
      <c r="I1587" s="2"/>
      <c r="J1587" s="2"/>
      <c r="K1587" s="2"/>
      <c r="L1587" s="2"/>
      <c r="M1587" s="6"/>
      <c r="N1587" s="6"/>
      <c r="O1587" s="7"/>
      <c r="P1587" s="2"/>
      <c r="Q1587" s="6" t="s">
        <v>16</v>
      </c>
      <c r="R1587" s="6"/>
      <c r="S1587" s="2"/>
      <c r="T1587" s="2"/>
      <c r="U1587" s="2"/>
      <c r="V1587" s="2"/>
      <c r="W1587" s="2"/>
      <c r="X1587" s="2" t="s">
        <v>16</v>
      </c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  <c r="AZ1587" s="2"/>
      <c r="BA1587" s="2"/>
      <c r="BB1587" s="2"/>
      <c r="BC1587" s="2"/>
      <c r="BD1587" s="2"/>
      <c r="BE1587" s="2"/>
      <c r="BF1587" s="2"/>
    </row>
    <row r="1588" spans="2:58">
      <c r="B1588" s="2">
        <v>4</v>
      </c>
      <c r="C1588" s="1">
        <v>43650</v>
      </c>
      <c r="E1588" s="2" t="s">
        <v>17</v>
      </c>
      <c r="F1588" s="2"/>
      <c r="G1588" s="2" t="s">
        <v>19</v>
      </c>
      <c r="H1588" s="2" t="s">
        <v>33</v>
      </c>
      <c r="I1588" s="2"/>
      <c r="J1588" s="2">
        <v>1</v>
      </c>
      <c r="K1588" s="2"/>
      <c r="L1588" s="2">
        <v>33.6</v>
      </c>
      <c r="M1588" s="6">
        <f t="shared" si="2450"/>
        <v>3.3600000000000003</v>
      </c>
      <c r="N1588" s="6">
        <v>1.78</v>
      </c>
      <c r="O1588" s="7"/>
      <c r="P1588" s="2"/>
      <c r="Q1588" s="6">
        <f>+L1588-M1588-N1588+P1588</f>
        <v>28.46</v>
      </c>
      <c r="R1588" s="6"/>
      <c r="S1588" s="2">
        <v>47.5</v>
      </c>
      <c r="T1588" s="2">
        <v>0</v>
      </c>
      <c r="U1588" s="2"/>
      <c r="V1588" s="2"/>
      <c r="W1588" s="2">
        <v>0</v>
      </c>
      <c r="X1588" s="2">
        <f>+S1588+T1588-W1588</f>
        <v>47.5</v>
      </c>
      <c r="Y1588" s="6">
        <f>+Q1588-X1588</f>
        <v>-19.04</v>
      </c>
      <c r="Z1588" s="2"/>
      <c r="AA1588" s="2"/>
      <c r="AB1588" s="2"/>
      <c r="AC1588" s="2"/>
      <c r="AD1588" s="2"/>
      <c r="AE1588" s="2"/>
      <c r="AF1588" s="2"/>
      <c r="AG1588" s="2" t="s">
        <v>13</v>
      </c>
      <c r="AH1588" s="2" t="s">
        <v>29</v>
      </c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  <c r="AZ1588" s="2"/>
      <c r="BA1588" s="2"/>
      <c r="BB1588" s="2"/>
      <c r="BC1588" s="2"/>
      <c r="BD1588" s="2"/>
      <c r="BE1588" s="2"/>
      <c r="BF1588" s="2"/>
    </row>
    <row r="1589" spans="2:58">
      <c r="B1589" s="2"/>
      <c r="C1589" s="1">
        <v>43650</v>
      </c>
      <c r="E1589" s="2" t="s">
        <v>18</v>
      </c>
      <c r="F1589" s="2"/>
      <c r="G1589" s="2" t="s">
        <v>20</v>
      </c>
      <c r="H1589" s="2" t="s">
        <v>32</v>
      </c>
      <c r="I1589" s="2"/>
      <c r="J1589" s="2">
        <v>1</v>
      </c>
      <c r="K1589" s="2"/>
      <c r="L1589" s="2">
        <v>83.5</v>
      </c>
      <c r="M1589" s="6">
        <f t="shared" si="2450"/>
        <v>8.35</v>
      </c>
      <c r="N1589" s="6">
        <v>3.97</v>
      </c>
      <c r="O1589" s="7"/>
      <c r="P1589" s="2"/>
      <c r="Q1589" s="6">
        <f>+L1589-M1589-N1589+P1589</f>
        <v>71.180000000000007</v>
      </c>
      <c r="R1589" s="6"/>
      <c r="S1589" s="2">
        <v>65.19</v>
      </c>
      <c r="T1589" s="2">
        <v>5.54</v>
      </c>
      <c r="U1589" s="2"/>
      <c r="V1589" s="2"/>
      <c r="W1589" s="2">
        <v>6.52</v>
      </c>
      <c r="X1589" s="2">
        <f>+S1589+T1589-W1589</f>
        <v>64.210000000000008</v>
      </c>
      <c r="Y1589" s="6">
        <f>+Q1589-X1589</f>
        <v>6.9699999999999989</v>
      </c>
      <c r="Z1589" s="2"/>
      <c r="AA1589" s="6">
        <f>+Y1589</f>
        <v>6.9699999999999989</v>
      </c>
      <c r="AB1589" s="6"/>
      <c r="AC1589" s="6"/>
      <c r="AD1589" s="2"/>
      <c r="AE1589" s="2"/>
      <c r="AF1589" s="2"/>
      <c r="AG1589" s="2" t="s">
        <v>28</v>
      </c>
      <c r="AH1589" s="2" t="s">
        <v>27</v>
      </c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  <c r="AZ1589" s="2"/>
      <c r="BA1589" s="2"/>
      <c r="BB1589" s="2"/>
      <c r="BC1589" s="2"/>
      <c r="BD1589" s="2"/>
      <c r="BE1589" s="2"/>
      <c r="BF1589" s="2"/>
    </row>
    <row r="1590" spans="2:58">
      <c r="B1590" s="2"/>
      <c r="C1590" s="1">
        <v>43650</v>
      </c>
      <c r="E1590" s="2" t="s">
        <v>60</v>
      </c>
      <c r="F1590" s="2"/>
      <c r="G1590" s="2" t="s">
        <v>21</v>
      </c>
      <c r="H1590" s="2" t="s">
        <v>31</v>
      </c>
      <c r="I1590" s="2"/>
      <c r="J1590" s="2">
        <v>1</v>
      </c>
      <c r="K1590" s="2"/>
      <c r="L1590" s="2">
        <v>35.5</v>
      </c>
      <c r="M1590" s="6">
        <f t="shared" si="2450"/>
        <v>3.5500000000000003</v>
      </c>
      <c r="N1590" s="6">
        <f t="shared" si="2451"/>
        <v>1.7750000000000001</v>
      </c>
      <c r="O1590" s="7"/>
      <c r="P1590" s="2">
        <v>3.2</v>
      </c>
      <c r="Q1590" s="6">
        <f>+L1590-M1590-N1590+P1590</f>
        <v>33.375</v>
      </c>
      <c r="R1590" s="6"/>
      <c r="S1590" s="2">
        <v>24.95</v>
      </c>
      <c r="T1590" s="2">
        <v>1.71</v>
      </c>
      <c r="U1590" s="2"/>
      <c r="V1590" s="2"/>
      <c r="W1590" s="2"/>
      <c r="X1590" s="2">
        <f>+S1590+T1590-W1590</f>
        <v>26.66</v>
      </c>
      <c r="Y1590" s="6">
        <f>+Q1590-X1590</f>
        <v>6.7149999999999999</v>
      </c>
      <c r="Z1590" s="2"/>
      <c r="AA1590" s="2"/>
      <c r="AB1590" s="6">
        <f>+Y1590</f>
        <v>6.7149999999999999</v>
      </c>
      <c r="AC1590" s="2"/>
      <c r="AD1590" s="2"/>
      <c r="AE1590" s="2"/>
      <c r="AF1590" s="2"/>
      <c r="AG1590" s="2" t="s">
        <v>26</v>
      </c>
      <c r="AH1590" s="2" t="s">
        <v>25</v>
      </c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  <c r="AZ1590" s="2"/>
      <c r="BA1590" s="2"/>
      <c r="BB1590" s="2"/>
      <c r="BC1590" s="2"/>
      <c r="BD1590" s="2"/>
      <c r="BE1590" s="2"/>
      <c r="BF1590" s="2"/>
    </row>
    <row r="1591" spans="2:58">
      <c r="B1591" s="2"/>
      <c r="C1591" s="1">
        <v>43650</v>
      </c>
      <c r="E1591" s="2" t="s">
        <v>62</v>
      </c>
      <c r="F1591" s="2"/>
      <c r="G1591" s="2" t="s">
        <v>22</v>
      </c>
      <c r="H1591" s="2" t="s">
        <v>30</v>
      </c>
      <c r="I1591" s="2"/>
      <c r="J1591" s="2">
        <v>1</v>
      </c>
      <c r="K1591" s="2"/>
      <c r="L1591" s="2">
        <v>53.5</v>
      </c>
      <c r="M1591" s="6">
        <f t="shared" si="2450"/>
        <v>5.3500000000000005</v>
      </c>
      <c r="N1591" s="6">
        <f t="shared" si="2451"/>
        <v>2.6750000000000003</v>
      </c>
      <c r="O1591" s="7"/>
      <c r="P1591" s="2">
        <v>3.75</v>
      </c>
      <c r="Q1591" s="6">
        <f>+L1591-M1591-N1591+P1591</f>
        <v>49.225000000000001</v>
      </c>
      <c r="R1591" s="6"/>
      <c r="S1591" s="2">
        <v>39.99</v>
      </c>
      <c r="T1591" s="2">
        <v>2.8</v>
      </c>
      <c r="U1591" s="2"/>
      <c r="V1591" s="2"/>
      <c r="W1591" s="2"/>
      <c r="X1591" s="2">
        <f>+S1591+T1591-W1591</f>
        <v>42.79</v>
      </c>
      <c r="Y1591" s="6">
        <f>+Q1591-X1591</f>
        <v>6.4350000000000023</v>
      </c>
      <c r="Z1591" s="2"/>
      <c r="AA1591" s="2"/>
      <c r="AB1591" s="6">
        <f>+Y1591</f>
        <v>6.4350000000000023</v>
      </c>
      <c r="AC1591" s="6"/>
      <c r="AD1591" s="2"/>
      <c r="AE1591" s="2"/>
      <c r="AF1591" s="2"/>
      <c r="AG1591" s="2" t="s">
        <v>24</v>
      </c>
      <c r="AH1591" s="2" t="s">
        <v>23</v>
      </c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  <c r="AZ1591" s="2"/>
      <c r="BA1591" s="2"/>
      <c r="BB1591" s="2"/>
      <c r="BC1591" s="2"/>
      <c r="BD1591" s="2"/>
      <c r="BE1591" s="2"/>
      <c r="BF1591" s="2"/>
    </row>
    <row r="1592" spans="2:58">
      <c r="B1592" s="2"/>
      <c r="E1592" s="2"/>
      <c r="F1592" s="2"/>
      <c r="G1592" s="2"/>
      <c r="H1592" s="2"/>
      <c r="I1592" s="2"/>
      <c r="J1592" s="2"/>
      <c r="K1592" s="2"/>
      <c r="L1592" s="2"/>
      <c r="M1592" s="6"/>
      <c r="N1592" s="6"/>
      <c r="O1592" s="7"/>
      <c r="P1592" s="2"/>
      <c r="Q1592" s="6" t="s">
        <v>16</v>
      </c>
      <c r="R1592" s="6"/>
      <c r="S1592" s="2"/>
      <c r="T1592" s="2"/>
      <c r="U1592" s="2"/>
      <c r="V1592" s="2"/>
      <c r="W1592" s="2" t="s">
        <v>16</v>
      </c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  <c r="AZ1592" s="2"/>
      <c r="BA1592" s="2"/>
      <c r="BB1592" s="2"/>
      <c r="BC1592" s="2"/>
      <c r="BD1592" s="2"/>
      <c r="BE1592" s="2"/>
      <c r="BF1592" s="2"/>
    </row>
    <row r="1593" spans="2:58">
      <c r="B1593" s="2">
        <v>3</v>
      </c>
      <c r="C1593" s="1">
        <v>43649</v>
      </c>
      <c r="D1593" s="1"/>
      <c r="E1593" s="2" t="s">
        <v>7</v>
      </c>
      <c r="F1593" s="2"/>
      <c r="G1593" s="2" t="s">
        <v>578</v>
      </c>
      <c r="H1593" s="2" t="s">
        <v>6</v>
      </c>
      <c r="I1593" s="2"/>
      <c r="J1593" s="2">
        <v>1</v>
      </c>
      <c r="K1593" s="2"/>
      <c r="L1593" s="2">
        <v>29.85</v>
      </c>
      <c r="M1593" s="6">
        <f t="shared" si="2450"/>
        <v>2.9850000000000003</v>
      </c>
      <c r="N1593" s="6">
        <v>1.73</v>
      </c>
      <c r="O1593" s="7"/>
      <c r="P1593" s="2">
        <v>2.69</v>
      </c>
      <c r="Q1593" s="6">
        <f>+L1593-M1593-N1593+P1593</f>
        <v>27.825000000000003</v>
      </c>
      <c r="R1593" s="6"/>
      <c r="S1593" s="2">
        <v>25.45</v>
      </c>
      <c r="T1593" s="2">
        <v>1.97</v>
      </c>
      <c r="U1593" s="2"/>
      <c r="V1593" s="2"/>
      <c r="W1593" s="2"/>
      <c r="X1593" s="2">
        <f>+S1593+T1593-W1593</f>
        <v>27.419999999999998</v>
      </c>
      <c r="Y1593" s="6">
        <f>+Q1593-X1593</f>
        <v>0.40500000000000469</v>
      </c>
      <c r="Z1593" s="2"/>
      <c r="AA1593" s="2"/>
      <c r="AB1593" s="2"/>
      <c r="AC1593" s="2"/>
      <c r="AD1593" s="2"/>
      <c r="AE1593" s="6">
        <f>+Y1593</f>
        <v>0.40500000000000469</v>
      </c>
      <c r="AF1593" s="6"/>
      <c r="AG1593" s="2" t="s">
        <v>15</v>
      </c>
      <c r="AH1593" s="2" t="s">
        <v>14</v>
      </c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  <c r="AZ1593" s="2"/>
      <c r="BA1593" s="2"/>
      <c r="BB1593" s="2"/>
      <c r="BC1593" s="2"/>
      <c r="BD1593" s="2"/>
      <c r="BE1593" s="2"/>
      <c r="BF1593" s="2"/>
    </row>
    <row r="1594" spans="2:58">
      <c r="B1594" s="2"/>
      <c r="C1594" s="1">
        <v>43649</v>
      </c>
      <c r="D1594" s="1"/>
      <c r="E1594" s="2" t="s">
        <v>131</v>
      </c>
      <c r="F1594" s="2"/>
      <c r="G1594" s="2" t="s">
        <v>577</v>
      </c>
      <c r="H1594" s="2" t="s">
        <v>5</v>
      </c>
      <c r="I1594" s="2"/>
      <c r="J1594" s="2">
        <v>1</v>
      </c>
      <c r="K1594" s="2"/>
      <c r="L1594" s="2">
        <v>46</v>
      </c>
      <c r="M1594" s="6">
        <f t="shared" si="2450"/>
        <v>4.6000000000000005</v>
      </c>
      <c r="N1594" s="6">
        <v>2.3199999999999998</v>
      </c>
      <c r="O1594" s="7"/>
      <c r="P1594" s="2"/>
      <c r="Q1594" s="6">
        <f>+L1594-M1594-N1594+P1594</f>
        <v>39.08</v>
      </c>
      <c r="R1594" s="6"/>
      <c r="S1594" s="2">
        <v>34.99</v>
      </c>
      <c r="T1594" s="2">
        <v>4.0199999999999996</v>
      </c>
      <c r="U1594" s="2"/>
      <c r="V1594" s="2"/>
      <c r="W1594" s="2"/>
      <c r="X1594" s="2">
        <f>+S1594+T1594-W1594</f>
        <v>39.010000000000005</v>
      </c>
      <c r="Y1594" s="6">
        <f>+Q1594-X1594</f>
        <v>6.9999999999993179E-2</v>
      </c>
      <c r="Z1594" s="2"/>
      <c r="AA1594" s="2"/>
      <c r="AB1594" s="2" t="s">
        <v>16</v>
      </c>
      <c r="AC1594" s="2"/>
      <c r="AD1594" s="2"/>
      <c r="AE1594" s="6">
        <f>+Y1594</f>
        <v>6.9999999999993179E-2</v>
      </c>
      <c r="AF1594" s="6"/>
      <c r="AG1594" s="2" t="s">
        <v>13</v>
      </c>
      <c r="AH1594" s="2" t="s">
        <v>12</v>
      </c>
      <c r="AI1594" s="2" t="s">
        <v>462</v>
      </c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  <c r="AZ1594" s="2"/>
      <c r="BA1594" s="2"/>
      <c r="BB1594" s="2"/>
      <c r="BC1594" s="2"/>
      <c r="BD1594" s="2"/>
      <c r="BE1594" s="2"/>
      <c r="BF1594" s="2"/>
    </row>
    <row r="1595" spans="2:58">
      <c r="B1595" s="2"/>
      <c r="C1595" s="1">
        <v>43649</v>
      </c>
      <c r="D1595" s="1"/>
      <c r="E1595" s="2" t="s">
        <v>86</v>
      </c>
      <c r="F1595" s="2"/>
      <c r="G1595" s="2" t="s">
        <v>0</v>
      </c>
      <c r="H1595" s="2" t="s">
        <v>4</v>
      </c>
      <c r="I1595" s="2"/>
      <c r="J1595" s="2">
        <v>1</v>
      </c>
      <c r="K1595" s="2"/>
      <c r="L1595" s="2">
        <v>29.5</v>
      </c>
      <c r="M1595" s="6">
        <v>2.95</v>
      </c>
      <c r="N1595" s="6">
        <v>1.69</v>
      </c>
      <c r="O1595" s="7"/>
      <c r="P1595" s="2">
        <v>2.0699999999999998</v>
      </c>
      <c r="Q1595" s="6">
        <f>+L1595-M1595-N1595+P1595</f>
        <v>26.93</v>
      </c>
      <c r="R1595" s="6"/>
      <c r="S1595" s="2">
        <v>17.989999999999998</v>
      </c>
      <c r="T1595" s="2">
        <v>1.17</v>
      </c>
      <c r="U1595" s="2"/>
      <c r="V1595" s="2"/>
      <c r="W1595" s="2"/>
      <c r="X1595" s="2">
        <f>+S1595+T1595-W1595</f>
        <v>19.159999999999997</v>
      </c>
      <c r="Y1595" s="6">
        <f>+Q1595-X1595</f>
        <v>7.7700000000000031</v>
      </c>
      <c r="Z1595" s="2"/>
      <c r="AA1595" s="2"/>
      <c r="AB1595" s="2"/>
      <c r="AC1595" s="6">
        <f>+Y1595</f>
        <v>7.7700000000000031</v>
      </c>
      <c r="AD1595" s="6">
        <f>+Y1595</f>
        <v>7.7700000000000031</v>
      </c>
      <c r="AE1595" s="6"/>
      <c r="AF1595" s="6"/>
      <c r="AG1595" s="2" t="s">
        <v>11</v>
      </c>
      <c r="AH1595" s="2" t="s">
        <v>9</v>
      </c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2"/>
      <c r="AT1595" s="2"/>
      <c r="AU1595" s="2"/>
      <c r="AV1595" s="2"/>
      <c r="AW1595" s="2"/>
      <c r="AX1595" s="2"/>
      <c r="AY1595" s="2"/>
      <c r="AZ1595" s="2"/>
      <c r="BA1595" s="2"/>
      <c r="BB1595" s="2"/>
      <c r="BC1595" s="2"/>
      <c r="BD1595" s="2"/>
      <c r="BE1595" s="2"/>
      <c r="BF1595" s="2"/>
    </row>
    <row r="1596" spans="2:58">
      <c r="B1596" s="2"/>
      <c r="C1596" s="1"/>
      <c r="D1596" s="1"/>
      <c r="E1596" s="2"/>
      <c r="F1596" s="2"/>
      <c r="G1596" s="2"/>
      <c r="H1596" s="2"/>
      <c r="I1596" s="2"/>
      <c r="J1596" s="2"/>
      <c r="K1596" s="2"/>
      <c r="L1596" s="2"/>
      <c r="M1596" s="6"/>
      <c r="N1596" s="6"/>
      <c r="O1596" s="6"/>
      <c r="P1596" s="2"/>
      <c r="Q1596" s="6"/>
      <c r="R1596" s="6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  <c r="AQ1596" s="2"/>
      <c r="AR1596" s="2"/>
      <c r="AS1596" s="2"/>
      <c r="AT1596" s="2"/>
      <c r="AU1596" s="2"/>
      <c r="AV1596" s="2"/>
      <c r="AW1596" s="2"/>
      <c r="AX1596" s="2"/>
      <c r="AY1596" s="2"/>
      <c r="AZ1596" s="2"/>
      <c r="BA1596" s="2"/>
      <c r="BB1596" s="2"/>
      <c r="BC1596" s="2"/>
      <c r="BD1596" s="2"/>
      <c r="BE1596" s="2"/>
      <c r="BF1596" s="2"/>
    </row>
    <row r="1597" spans="2:58">
      <c r="E1597" s="2"/>
      <c r="F1597" s="2"/>
      <c r="G1597" s="2"/>
      <c r="H1597" s="2"/>
      <c r="I1597" s="2"/>
      <c r="J1597" s="2"/>
      <c r="K1597" s="2"/>
      <c r="L1597" s="2"/>
      <c r="M1597" s="2" t="s">
        <v>16</v>
      </c>
      <c r="N1597" s="2"/>
      <c r="O1597" s="2"/>
      <c r="P1597" s="2"/>
      <c r="Q1597" s="2" t="s">
        <v>16</v>
      </c>
      <c r="R1597" s="2"/>
      <c r="S1597" s="2"/>
      <c r="T1597" s="2"/>
      <c r="U1597" s="2"/>
      <c r="V1597" s="2"/>
      <c r="W1597" s="2"/>
      <c r="X1597" s="2"/>
      <c r="Y1597" s="2"/>
      <c r="Z1597" s="2"/>
      <c r="AA1597" s="2" t="s">
        <v>16</v>
      </c>
      <c r="AB1597" s="2" t="s">
        <v>16</v>
      </c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  <c r="AQ1597" s="2"/>
      <c r="AR1597" s="2"/>
      <c r="AS1597" s="2"/>
      <c r="AT1597" s="2"/>
      <c r="AU1597" s="2"/>
      <c r="AV1597" s="2"/>
      <c r="AW1597" s="2"/>
      <c r="AX1597" s="2"/>
      <c r="AY1597" s="2"/>
      <c r="AZ1597" s="2"/>
      <c r="BA1597" s="2"/>
      <c r="BB1597" s="2"/>
      <c r="BC1597" s="2"/>
      <c r="BD1597" s="2"/>
      <c r="BE1597" s="2"/>
      <c r="BF1597" s="2"/>
    </row>
    <row r="1598" spans="2:58">
      <c r="B1598" s="2"/>
      <c r="E1598" s="2"/>
      <c r="F1598" s="2"/>
      <c r="G1598" s="2"/>
      <c r="H1598" s="2"/>
      <c r="I1598" s="2"/>
      <c r="J1598" s="2">
        <f>SUM(J1474:J1595)</f>
        <v>93</v>
      </c>
      <c r="K1598" s="2"/>
      <c r="L1598" s="2">
        <f>SUM(L1474:L1595)</f>
        <v>4211.9500000000007</v>
      </c>
      <c r="M1598" s="2">
        <f>SUM(M1474:M1595)</f>
        <v>421.19500000000028</v>
      </c>
      <c r="N1598" s="2">
        <f>SUM(N1474:N1595)</f>
        <v>214.8250000000001</v>
      </c>
      <c r="O1598" s="2"/>
      <c r="P1598" s="2">
        <f>SUM(P1474:P1595)</f>
        <v>183.29</v>
      </c>
      <c r="Q1598" s="2">
        <f>SUM(Q1474:Q1595)</f>
        <v>3759.22</v>
      </c>
      <c r="R1598" s="2"/>
      <c r="S1598" s="2">
        <f t="shared" ref="S1598:AE1598" si="2458">SUM(S1474:S1595)</f>
        <v>3099.4799999999987</v>
      </c>
      <c r="T1598" s="2">
        <f t="shared" si="2458"/>
        <v>211.71999999999997</v>
      </c>
      <c r="U1598" s="2"/>
      <c r="V1598" s="2"/>
      <c r="W1598" s="2">
        <f t="shared" si="2458"/>
        <v>45.269999999999996</v>
      </c>
      <c r="X1598" s="2">
        <f t="shared" si="2458"/>
        <v>3265.9299999999994</v>
      </c>
      <c r="Y1598" s="2">
        <f t="shared" si="2458"/>
        <v>474.16499999999974</v>
      </c>
      <c r="Z1598" s="2">
        <f t="shared" si="2458"/>
        <v>221.94000000000003</v>
      </c>
      <c r="AA1598" s="2">
        <f t="shared" si="2458"/>
        <v>92.4</v>
      </c>
      <c r="AB1598" s="2">
        <f t="shared" si="2458"/>
        <v>70.699999999999989</v>
      </c>
      <c r="AC1598" s="2">
        <f t="shared" si="2458"/>
        <v>39.03</v>
      </c>
      <c r="AD1598" s="2">
        <f t="shared" si="2458"/>
        <v>66.360000000000014</v>
      </c>
      <c r="AE1598" s="2">
        <f t="shared" si="2458"/>
        <v>8.5999999999999606</v>
      </c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2"/>
      <c r="AT1598" s="2"/>
      <c r="AU1598" s="2"/>
      <c r="AV1598" s="2"/>
      <c r="AW1598" s="2"/>
      <c r="AX1598" s="2"/>
      <c r="AY1598" s="2"/>
      <c r="AZ1598" s="2"/>
      <c r="BA1598" s="2"/>
      <c r="BB1598" s="2"/>
      <c r="BC1598" s="2"/>
      <c r="BD1598" s="2"/>
      <c r="BE1598" s="2"/>
      <c r="BF1598" s="2"/>
    </row>
    <row r="1599" spans="2:58" s="2" customFormat="1" ht="15">
      <c r="W1599" s="2" t="s">
        <v>16</v>
      </c>
      <c r="AE1599" s="2" t="s">
        <v>16</v>
      </c>
    </row>
    <row r="1600" spans="2:58" s="2" customFormat="1" ht="15">
      <c r="B1600" s="2">
        <v>4</v>
      </c>
      <c r="C1600" s="1">
        <v>43646</v>
      </c>
      <c r="E1600" s="2" t="s">
        <v>393</v>
      </c>
      <c r="J1600" s="2">
        <v>1</v>
      </c>
      <c r="L1600" s="2">
        <v>41.95</v>
      </c>
    </row>
    <row r="1601" spans="2:58" s="2" customFormat="1" ht="15">
      <c r="C1601" s="1">
        <v>43646</v>
      </c>
      <c r="E1601" s="2" t="s">
        <v>129</v>
      </c>
      <c r="J1601" s="2">
        <v>1</v>
      </c>
      <c r="L1601" s="2">
        <v>83.5</v>
      </c>
    </row>
    <row r="1602" spans="2:58" s="2" customFormat="1" ht="15">
      <c r="C1602" s="1">
        <v>43646</v>
      </c>
      <c r="E1602" s="2" t="s">
        <v>86</v>
      </c>
      <c r="J1602" s="2">
        <v>2</v>
      </c>
      <c r="L1602" s="2">
        <v>59</v>
      </c>
    </row>
    <row r="1603" spans="2:58" s="2" customFormat="1" ht="15">
      <c r="C1603" s="1">
        <v>43646</v>
      </c>
      <c r="E1603" s="2" t="s">
        <v>7</v>
      </c>
      <c r="J1603" s="2">
        <v>1</v>
      </c>
      <c r="L1603" s="2">
        <v>27.85</v>
      </c>
    </row>
    <row r="1604" spans="2:58" s="2" customFormat="1" ht="15">
      <c r="B1604" s="2">
        <v>1</v>
      </c>
      <c r="C1604" s="1">
        <v>43645</v>
      </c>
      <c r="E1604" s="2" t="s">
        <v>60</v>
      </c>
      <c r="J1604" s="2">
        <v>1</v>
      </c>
      <c r="L1604" s="2">
        <v>35.5</v>
      </c>
    </row>
    <row r="1605" spans="2:58" s="2" customFormat="1" ht="15">
      <c r="B1605" s="2">
        <v>3</v>
      </c>
      <c r="C1605" s="1">
        <v>43644</v>
      </c>
      <c r="E1605" s="2" t="s">
        <v>86</v>
      </c>
      <c r="J1605" s="2">
        <v>2</v>
      </c>
      <c r="L1605" s="2">
        <v>63</v>
      </c>
    </row>
    <row r="1606" spans="2:58" s="2" customFormat="1" ht="15">
      <c r="B1606" s="2" t="s">
        <v>16</v>
      </c>
      <c r="C1606" s="1">
        <v>43644</v>
      </c>
      <c r="E1606" s="2" t="s">
        <v>393</v>
      </c>
      <c r="J1606" s="2">
        <v>1</v>
      </c>
      <c r="L1606" s="2">
        <v>43.5</v>
      </c>
    </row>
    <row r="1607" spans="2:58" s="2" customFormat="1" ht="15">
      <c r="C1607" s="1">
        <v>43644</v>
      </c>
      <c r="E1607" s="2" t="s">
        <v>393</v>
      </c>
      <c r="J1607" s="2">
        <v>1</v>
      </c>
      <c r="L1607" s="2">
        <v>43.5</v>
      </c>
    </row>
    <row r="1608" spans="2:58" s="2" customFormat="1" ht="15">
      <c r="B1608" s="2">
        <v>1</v>
      </c>
      <c r="C1608" s="1">
        <v>43643</v>
      </c>
      <c r="E1608" s="2" t="s">
        <v>129</v>
      </c>
      <c r="J1608" s="2">
        <v>1</v>
      </c>
      <c r="L1608" s="2">
        <v>83.5</v>
      </c>
    </row>
    <row r="1609" spans="2:58" s="2" customFormat="1" ht="15">
      <c r="B1609" s="2">
        <v>1</v>
      </c>
      <c r="C1609" s="1">
        <v>43641</v>
      </c>
      <c r="E1609" s="2" t="s">
        <v>393</v>
      </c>
      <c r="J1609" s="2">
        <v>1</v>
      </c>
      <c r="L1609" s="2">
        <v>43.5</v>
      </c>
    </row>
    <row r="1610" spans="2:58" s="2" customFormat="1" ht="15">
      <c r="B1610" s="2">
        <v>2</v>
      </c>
      <c r="C1610" s="1">
        <v>43640</v>
      </c>
      <c r="E1610" s="2" t="s">
        <v>393</v>
      </c>
      <c r="J1610" s="2">
        <v>1</v>
      </c>
      <c r="L1610" s="2">
        <v>43.5</v>
      </c>
    </row>
    <row r="1611" spans="2:58" s="2" customFormat="1" ht="15">
      <c r="B1611" s="2" t="s">
        <v>16</v>
      </c>
      <c r="C1611" s="1">
        <v>43640</v>
      </c>
      <c r="E1611" s="2" t="s">
        <v>7</v>
      </c>
      <c r="J1611" s="2">
        <v>1</v>
      </c>
      <c r="L1611" s="2">
        <v>27.5</v>
      </c>
    </row>
    <row r="1612" spans="2:58" s="2" customFormat="1" ht="15">
      <c r="B1612" s="2">
        <v>1</v>
      </c>
      <c r="C1612" s="1">
        <v>43639</v>
      </c>
      <c r="E1612" s="2" t="s">
        <v>129</v>
      </c>
      <c r="J1612" s="2">
        <v>1</v>
      </c>
      <c r="L1612" s="2">
        <v>83.5</v>
      </c>
    </row>
    <row r="1613" spans="2:58" s="2" customFormat="1" ht="15">
      <c r="B1613" s="2">
        <v>1</v>
      </c>
      <c r="C1613" s="1">
        <v>43637</v>
      </c>
      <c r="E1613" s="2" t="s">
        <v>393</v>
      </c>
      <c r="J1613" s="2">
        <v>1</v>
      </c>
      <c r="L1613" s="2">
        <v>43.5</v>
      </c>
    </row>
    <row r="1614" spans="2:58">
      <c r="B1614" s="2">
        <v>4</v>
      </c>
      <c r="C1614" s="1">
        <v>43634</v>
      </c>
      <c r="E1614" s="2" t="s">
        <v>62</v>
      </c>
      <c r="F1614" s="2"/>
      <c r="G1614" s="2"/>
      <c r="H1614" s="2"/>
      <c r="I1614" s="2"/>
      <c r="J1614" s="2">
        <v>1</v>
      </c>
      <c r="K1614" s="2"/>
      <c r="L1614" s="2">
        <v>53.5</v>
      </c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2"/>
      <c r="AT1614" s="2"/>
      <c r="AU1614" s="2"/>
      <c r="AV1614" s="2"/>
      <c r="AW1614" s="2"/>
      <c r="AX1614" s="2"/>
      <c r="AY1614" s="2"/>
      <c r="AZ1614" s="2"/>
      <c r="BA1614" s="2"/>
      <c r="BB1614" s="2"/>
      <c r="BC1614" s="2"/>
      <c r="BD1614" s="2"/>
      <c r="BE1614" s="2"/>
      <c r="BF1614" s="2"/>
    </row>
    <row r="1615" spans="2:58">
      <c r="B1615" s="2"/>
      <c r="C1615" s="1">
        <v>43634</v>
      </c>
      <c r="E1615" s="2" t="s">
        <v>397</v>
      </c>
      <c r="F1615" s="2"/>
      <c r="G1615" s="2"/>
      <c r="H1615" s="2"/>
      <c r="I1615" s="2"/>
      <c r="J1615" s="2">
        <v>1</v>
      </c>
      <c r="K1615" s="2"/>
      <c r="L1615" s="2">
        <v>25.5</v>
      </c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2"/>
      <c r="AT1615" s="2"/>
      <c r="AU1615" s="2"/>
      <c r="AV1615" s="2"/>
      <c r="AW1615" s="2"/>
      <c r="AX1615" s="2"/>
      <c r="AY1615" s="2"/>
      <c r="AZ1615" s="2"/>
      <c r="BA1615" s="2"/>
      <c r="BB1615" s="2"/>
      <c r="BC1615" s="2"/>
      <c r="BD1615" s="2"/>
      <c r="BE1615" s="2"/>
      <c r="BF1615" s="2"/>
    </row>
    <row r="1616" spans="2:58">
      <c r="B1616" s="2"/>
      <c r="C1616" s="1">
        <v>43634</v>
      </c>
      <c r="E1616" s="2" t="s">
        <v>60</v>
      </c>
      <c r="F1616" s="2"/>
      <c r="G1616" s="2"/>
      <c r="H1616" s="2"/>
      <c r="I1616" s="2"/>
      <c r="J1616" s="2">
        <v>1</v>
      </c>
      <c r="K1616" s="2"/>
      <c r="L1616" s="2">
        <v>35.5</v>
      </c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2"/>
      <c r="AT1616" s="2"/>
      <c r="AU1616" s="2"/>
      <c r="AV1616" s="2"/>
      <c r="AW1616" s="2"/>
      <c r="AX1616" s="2"/>
      <c r="AY1616" s="2"/>
      <c r="AZ1616" s="2"/>
      <c r="BA1616" s="2"/>
      <c r="BB1616" s="2"/>
      <c r="BC1616" s="2"/>
      <c r="BD1616" s="2"/>
      <c r="BE1616" s="2"/>
      <c r="BF1616" s="2"/>
    </row>
    <row r="1617" spans="2:58">
      <c r="B1617" s="2"/>
      <c r="C1617" s="1">
        <v>43634</v>
      </c>
      <c r="E1617" s="2" t="s">
        <v>393</v>
      </c>
      <c r="F1617" s="2"/>
      <c r="G1617" s="2"/>
      <c r="H1617" s="2"/>
      <c r="I1617" s="2"/>
      <c r="J1617" s="2">
        <v>1</v>
      </c>
      <c r="K1617" s="2"/>
      <c r="L1617" s="2">
        <v>43.5</v>
      </c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2"/>
      <c r="AT1617" s="2"/>
      <c r="AU1617" s="2"/>
      <c r="AV1617" s="2"/>
      <c r="AW1617" s="2"/>
      <c r="AX1617" s="2"/>
      <c r="AY1617" s="2"/>
      <c r="AZ1617" s="2"/>
      <c r="BA1617" s="2"/>
      <c r="BB1617" s="2"/>
      <c r="BC1617" s="2"/>
      <c r="BD1617" s="2"/>
      <c r="BE1617" s="2"/>
      <c r="BF1617" s="2"/>
    </row>
    <row r="1618" spans="2:58">
      <c r="B1618" s="2">
        <v>1</v>
      </c>
      <c r="C1618" s="1">
        <v>43633</v>
      </c>
      <c r="E1618" s="2" t="s">
        <v>396</v>
      </c>
      <c r="F1618" s="2"/>
      <c r="G1618" s="2"/>
      <c r="H1618" s="2"/>
      <c r="I1618" s="2"/>
      <c r="J1618" s="2">
        <v>1</v>
      </c>
      <c r="K1618" s="2"/>
      <c r="L1618" s="2">
        <v>84</v>
      </c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2"/>
      <c r="AT1618" s="2"/>
      <c r="AU1618" s="2"/>
      <c r="AV1618" s="2"/>
      <c r="AW1618" s="2"/>
      <c r="AX1618" s="2"/>
      <c r="AY1618" s="2"/>
      <c r="AZ1618" s="2"/>
      <c r="BA1618" s="2"/>
      <c r="BB1618" s="2"/>
      <c r="BC1618" s="2"/>
      <c r="BD1618" s="2"/>
      <c r="BE1618" s="2"/>
      <c r="BF1618" s="2"/>
    </row>
    <row r="1619" spans="2:58">
      <c r="B1619" s="2">
        <v>2</v>
      </c>
      <c r="C1619" s="1">
        <v>43632</v>
      </c>
      <c r="E1619" s="2" t="s">
        <v>393</v>
      </c>
      <c r="F1619" s="2"/>
      <c r="G1619" s="2"/>
      <c r="H1619" s="2"/>
      <c r="I1619" s="2"/>
      <c r="J1619" s="2">
        <v>1</v>
      </c>
      <c r="K1619" s="2"/>
      <c r="L1619" s="2">
        <v>43.5</v>
      </c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2"/>
      <c r="AT1619" s="2"/>
      <c r="AU1619" s="2"/>
      <c r="AV1619" s="2"/>
      <c r="AW1619" s="2"/>
      <c r="AX1619" s="2"/>
      <c r="AY1619" s="2"/>
      <c r="AZ1619" s="2"/>
      <c r="BA1619" s="2"/>
      <c r="BB1619" s="2"/>
      <c r="BC1619" s="2"/>
      <c r="BD1619" s="2"/>
      <c r="BE1619" s="2"/>
      <c r="BF1619" s="2"/>
    </row>
    <row r="1620" spans="2:58">
      <c r="B1620" s="2"/>
      <c r="C1620" s="1">
        <v>43632</v>
      </c>
      <c r="E1620" s="2" t="s">
        <v>60</v>
      </c>
      <c r="F1620" s="2"/>
      <c r="G1620" s="2"/>
      <c r="H1620" s="2"/>
      <c r="I1620" s="2"/>
      <c r="J1620" s="2">
        <v>1</v>
      </c>
      <c r="K1620" s="2"/>
      <c r="L1620" s="2">
        <v>35.5</v>
      </c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2"/>
      <c r="AT1620" s="2"/>
      <c r="AU1620" s="2"/>
      <c r="AV1620" s="2"/>
      <c r="AW1620" s="2"/>
      <c r="AX1620" s="2"/>
      <c r="AY1620" s="2"/>
      <c r="AZ1620" s="2"/>
      <c r="BA1620" s="2"/>
      <c r="BB1620" s="2"/>
      <c r="BC1620" s="2"/>
      <c r="BD1620" s="2"/>
      <c r="BE1620" s="2"/>
      <c r="BF1620" s="2"/>
    </row>
    <row r="1621" spans="2:58">
      <c r="B1621" s="2">
        <v>1</v>
      </c>
      <c r="C1621" s="1">
        <v>43631</v>
      </c>
      <c r="E1621" s="2" t="s">
        <v>395</v>
      </c>
      <c r="F1621" s="2"/>
      <c r="G1621" s="2"/>
      <c r="H1621" s="2"/>
      <c r="I1621" s="2"/>
      <c r="J1621" s="2">
        <v>1</v>
      </c>
      <c r="K1621" s="2"/>
      <c r="L1621" s="2">
        <v>59.5</v>
      </c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2"/>
      <c r="AT1621" s="2"/>
      <c r="AU1621" s="2"/>
      <c r="AV1621" s="2"/>
      <c r="AW1621" s="2"/>
      <c r="AX1621" s="2"/>
      <c r="AY1621" s="2"/>
      <c r="AZ1621" s="2"/>
      <c r="BA1621" s="2"/>
      <c r="BB1621" s="2"/>
      <c r="BC1621" s="2"/>
      <c r="BD1621" s="2"/>
      <c r="BE1621" s="2"/>
      <c r="BF1621" s="2"/>
    </row>
    <row r="1622" spans="2:58">
      <c r="B1622" s="2">
        <v>1</v>
      </c>
      <c r="C1622" s="1">
        <v>43630</v>
      </c>
      <c r="E1622" s="2" t="s">
        <v>393</v>
      </c>
      <c r="F1622" s="2"/>
      <c r="G1622" s="2"/>
      <c r="H1622" s="2"/>
      <c r="I1622" s="2"/>
      <c r="J1622" s="2">
        <v>1</v>
      </c>
      <c r="K1622" s="2"/>
      <c r="L1622" s="2">
        <v>43.5</v>
      </c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2"/>
      <c r="AT1622" s="2"/>
      <c r="AU1622" s="2"/>
      <c r="AV1622" s="2"/>
      <c r="AW1622" s="2"/>
      <c r="AX1622" s="2"/>
      <c r="AY1622" s="2"/>
      <c r="AZ1622" s="2"/>
      <c r="BA1622" s="2"/>
      <c r="BB1622" s="2"/>
      <c r="BC1622" s="2"/>
      <c r="BD1622" s="2"/>
      <c r="BE1622" s="2"/>
      <c r="BF1622" s="2"/>
    </row>
    <row r="1623" spans="2:58">
      <c r="B1623">
        <v>1</v>
      </c>
      <c r="C1623" s="1">
        <v>43629</v>
      </c>
      <c r="E1623" s="2" t="s">
        <v>393</v>
      </c>
      <c r="F1623" s="2"/>
      <c r="G1623" s="2"/>
      <c r="H1623" s="2"/>
      <c r="I1623" s="2"/>
      <c r="J1623" s="2">
        <v>1</v>
      </c>
      <c r="K1623" s="2"/>
      <c r="L1623" s="2">
        <v>43.5</v>
      </c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2"/>
      <c r="AT1623" s="2"/>
      <c r="AU1623" s="2"/>
      <c r="AV1623" s="2"/>
      <c r="AW1623" s="2"/>
      <c r="AX1623" s="2"/>
      <c r="AY1623" s="2"/>
      <c r="AZ1623" s="2"/>
      <c r="BA1623" s="2"/>
      <c r="BB1623" s="2"/>
      <c r="BC1623" s="2"/>
      <c r="BD1623" s="2"/>
      <c r="BE1623" s="2"/>
      <c r="BF1623" s="2"/>
    </row>
    <row r="1624" spans="2:58">
      <c r="B1624">
        <v>1</v>
      </c>
      <c r="C1624" s="1">
        <v>43628</v>
      </c>
      <c r="E1624" s="2" t="s">
        <v>394</v>
      </c>
      <c r="F1624" s="2"/>
      <c r="G1624" s="2"/>
      <c r="H1624" s="2"/>
      <c r="I1624" s="2"/>
      <c r="J1624" s="2">
        <v>1</v>
      </c>
      <c r="K1624" s="2"/>
      <c r="L1624" s="2">
        <v>18</v>
      </c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2"/>
      <c r="AT1624" s="2"/>
      <c r="AU1624" s="2"/>
      <c r="AV1624" s="2"/>
      <c r="AW1624" s="2"/>
      <c r="AX1624" s="2"/>
      <c r="AY1624" s="2"/>
      <c r="AZ1624" s="2"/>
      <c r="BA1624" s="2"/>
      <c r="BB1624" s="2"/>
      <c r="BC1624" s="2"/>
      <c r="BD1624" s="2"/>
      <c r="BE1624" s="2"/>
      <c r="BF1624" s="2"/>
    </row>
    <row r="1625" spans="2:58">
      <c r="B1625">
        <v>1</v>
      </c>
      <c r="C1625" s="1">
        <v>43627</v>
      </c>
      <c r="E1625" s="2" t="s">
        <v>393</v>
      </c>
      <c r="F1625" s="2"/>
      <c r="G1625" s="2"/>
      <c r="H1625" s="2"/>
      <c r="I1625" s="2"/>
      <c r="J1625" s="2">
        <v>1</v>
      </c>
      <c r="K1625" s="2"/>
      <c r="L1625" s="2">
        <v>43.5</v>
      </c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2"/>
      <c r="AT1625" s="2"/>
      <c r="AU1625" s="2"/>
      <c r="AV1625" s="2"/>
      <c r="AW1625" s="2"/>
      <c r="AX1625" s="2"/>
      <c r="AY1625" s="2"/>
      <c r="AZ1625" s="2"/>
      <c r="BA1625" s="2"/>
      <c r="BB1625" s="2"/>
      <c r="BC1625" s="2"/>
      <c r="BD1625" s="2"/>
      <c r="BE1625" s="2"/>
      <c r="BF1625" s="2"/>
    </row>
    <row r="1626" spans="2:58">
      <c r="B1626">
        <v>2</v>
      </c>
      <c r="C1626" s="1">
        <v>43625</v>
      </c>
      <c r="E1626" s="2" t="s">
        <v>60</v>
      </c>
      <c r="F1626" s="2"/>
      <c r="G1626" s="2"/>
      <c r="H1626" s="2"/>
      <c r="I1626" s="2"/>
      <c r="J1626" s="2">
        <v>1</v>
      </c>
      <c r="K1626" s="2" t="s">
        <v>16</v>
      </c>
      <c r="L1626" s="2">
        <v>35.5</v>
      </c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2"/>
      <c r="AT1626" s="2"/>
      <c r="AU1626" s="2"/>
      <c r="AV1626" s="2"/>
      <c r="AW1626" s="2"/>
      <c r="AX1626" s="2"/>
      <c r="AY1626" s="2"/>
      <c r="AZ1626" s="2"/>
      <c r="BA1626" s="2"/>
      <c r="BB1626" s="2"/>
      <c r="BC1626" s="2"/>
      <c r="BD1626" s="2"/>
      <c r="BE1626" s="2"/>
      <c r="BF1626" s="2"/>
    </row>
    <row r="1627" spans="2:58">
      <c r="C1627" s="1">
        <v>43625</v>
      </c>
      <c r="E1627" s="2" t="s">
        <v>60</v>
      </c>
      <c r="F1627" s="2"/>
      <c r="G1627" s="2"/>
      <c r="H1627" s="2"/>
      <c r="I1627" s="2"/>
      <c r="J1627" s="2">
        <v>1</v>
      </c>
      <c r="K1627" s="2" t="s">
        <v>16</v>
      </c>
      <c r="L1627" s="2">
        <v>35.5</v>
      </c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2"/>
      <c r="AT1627" s="2"/>
      <c r="AU1627" s="2"/>
      <c r="AV1627" s="2"/>
      <c r="AW1627" s="2"/>
      <c r="AX1627" s="2"/>
      <c r="AY1627" s="2"/>
      <c r="AZ1627" s="2"/>
      <c r="BA1627" s="2"/>
      <c r="BB1627" s="2"/>
      <c r="BC1627" s="2"/>
      <c r="BD1627" s="2"/>
      <c r="BE1627" s="2"/>
      <c r="BF1627" s="2"/>
    </row>
    <row r="1628" spans="2:58">
      <c r="B1628">
        <v>2</v>
      </c>
      <c r="C1628" s="1">
        <v>43622</v>
      </c>
      <c r="E1628" s="2" t="s">
        <v>60</v>
      </c>
      <c r="F1628" s="2"/>
      <c r="G1628" s="2"/>
      <c r="H1628" s="2"/>
      <c r="I1628" s="2"/>
      <c r="J1628" s="2">
        <v>1</v>
      </c>
      <c r="K1628" s="2"/>
      <c r="L1628" s="2">
        <v>35.5</v>
      </c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2"/>
      <c r="AT1628" s="2"/>
      <c r="AU1628" s="2"/>
      <c r="AV1628" s="2"/>
      <c r="AW1628" s="2"/>
      <c r="AX1628" s="2"/>
      <c r="AY1628" s="2"/>
      <c r="AZ1628" s="2"/>
      <c r="BA1628" s="2"/>
      <c r="BB1628" s="2"/>
      <c r="BC1628" s="2"/>
      <c r="BD1628" s="2"/>
      <c r="BE1628" s="2"/>
      <c r="BF1628" s="2"/>
    </row>
    <row r="1629" spans="2:58">
      <c r="C1629" s="1">
        <v>43622</v>
      </c>
      <c r="E1629" s="2" t="s">
        <v>60</v>
      </c>
      <c r="F1629" s="2"/>
      <c r="G1629" s="2"/>
      <c r="H1629" s="2"/>
      <c r="I1629" s="2"/>
      <c r="J1629" s="2">
        <v>1</v>
      </c>
      <c r="K1629" s="2"/>
      <c r="L1629" s="2">
        <v>35.5</v>
      </c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  <c r="AQ1629" s="2"/>
      <c r="AR1629" s="2"/>
      <c r="AS1629" s="2"/>
      <c r="AT1629" s="2"/>
      <c r="AU1629" s="2"/>
      <c r="AV1629" s="2"/>
      <c r="AW1629" s="2"/>
      <c r="AX1629" s="2"/>
      <c r="AY1629" s="2"/>
      <c r="AZ1629" s="2"/>
      <c r="BA1629" s="2"/>
      <c r="BB1629" s="2"/>
      <c r="BC1629" s="2"/>
      <c r="BD1629" s="2"/>
      <c r="BE1629" s="2"/>
      <c r="BF1629" s="2"/>
    </row>
    <row r="1630" spans="2:58">
      <c r="B1630">
        <v>3</v>
      </c>
      <c r="C1630" s="1">
        <v>43621</v>
      </c>
      <c r="E1630" s="2" t="s">
        <v>60</v>
      </c>
      <c r="F1630" s="2"/>
      <c r="G1630" s="2"/>
      <c r="H1630" s="2"/>
      <c r="I1630" s="2"/>
      <c r="J1630" s="2">
        <v>1</v>
      </c>
      <c r="K1630" s="2"/>
      <c r="L1630" s="2">
        <v>53</v>
      </c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2"/>
      <c r="AT1630" s="2"/>
      <c r="AU1630" s="2"/>
      <c r="AV1630" s="2"/>
      <c r="AW1630" s="2"/>
      <c r="AX1630" s="2"/>
      <c r="AY1630" s="2"/>
      <c r="AZ1630" s="2"/>
      <c r="BA1630" s="2"/>
      <c r="BB1630" s="2"/>
      <c r="BC1630" s="2"/>
      <c r="BD1630" s="2"/>
      <c r="BE1630" s="2"/>
      <c r="BF1630" s="2"/>
    </row>
    <row r="1631" spans="2:58">
      <c r="C1631" s="1">
        <v>43621</v>
      </c>
      <c r="E1631" s="2" t="s">
        <v>60</v>
      </c>
      <c r="F1631" s="2"/>
      <c r="G1631" s="2"/>
      <c r="H1631" s="2"/>
      <c r="I1631" s="2"/>
      <c r="J1631" s="2">
        <v>1</v>
      </c>
      <c r="K1631" s="2"/>
      <c r="L1631" s="2">
        <v>35.5</v>
      </c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2"/>
      <c r="AT1631" s="2"/>
      <c r="AU1631" s="2"/>
      <c r="AV1631" s="2"/>
      <c r="AW1631" s="2"/>
      <c r="AX1631" s="2"/>
      <c r="AY1631" s="2"/>
      <c r="AZ1631" s="2"/>
      <c r="BA1631" s="2"/>
      <c r="BB1631" s="2"/>
      <c r="BC1631" s="2"/>
      <c r="BD1631" s="2"/>
      <c r="BE1631" s="2"/>
      <c r="BF1631" s="2"/>
    </row>
    <row r="1632" spans="2:58">
      <c r="C1632" s="1">
        <v>43621</v>
      </c>
      <c r="E1632" s="2" t="s">
        <v>86</v>
      </c>
      <c r="F1632" s="2"/>
      <c r="G1632" s="2"/>
      <c r="H1632" s="2"/>
      <c r="I1632" s="2"/>
      <c r="J1632" s="2">
        <v>1</v>
      </c>
      <c r="K1632" s="2"/>
      <c r="L1632" s="2">
        <v>31.5</v>
      </c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2"/>
      <c r="AT1632" s="2"/>
      <c r="AU1632" s="2"/>
      <c r="AV1632" s="2"/>
      <c r="AW1632" s="2"/>
      <c r="AX1632" s="2"/>
      <c r="AY1632" s="2"/>
      <c r="AZ1632" s="2"/>
      <c r="BA1632" s="2"/>
      <c r="BB1632" s="2"/>
      <c r="BC1632" s="2"/>
      <c r="BD1632" s="2"/>
      <c r="BE1632" s="2"/>
      <c r="BF1632" s="2"/>
    </row>
    <row r="1633" spans="2:58">
      <c r="B1633">
        <v>1</v>
      </c>
      <c r="C1633" s="1">
        <v>43620</v>
      </c>
      <c r="E1633" s="2" t="s">
        <v>62</v>
      </c>
      <c r="F1633" s="2"/>
      <c r="G1633" s="2"/>
      <c r="H1633" s="2"/>
      <c r="I1633" s="2"/>
      <c r="J1633" s="2">
        <v>1</v>
      </c>
      <c r="K1633" s="2"/>
      <c r="L1633" s="2">
        <v>53</v>
      </c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2"/>
      <c r="AT1633" s="2"/>
      <c r="AU1633" s="2"/>
      <c r="AV1633" s="2"/>
      <c r="AW1633" s="2"/>
      <c r="AX1633" s="2"/>
      <c r="AY1633" s="2"/>
      <c r="AZ1633" s="2"/>
      <c r="BA1633" s="2"/>
      <c r="BB1633" s="2"/>
      <c r="BC1633" s="2"/>
      <c r="BD1633" s="2"/>
      <c r="BE1633" s="2"/>
      <c r="BF1633" s="2"/>
    </row>
    <row r="1634" spans="2:58"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2"/>
      <c r="AT1634" s="2"/>
      <c r="AU1634" s="2"/>
      <c r="AV1634" s="2"/>
      <c r="AW1634" s="2"/>
      <c r="AX1634" s="2"/>
      <c r="AY1634" s="2"/>
      <c r="AZ1634" s="2"/>
      <c r="BA1634" s="2"/>
      <c r="BB1634" s="2"/>
      <c r="BC1634" s="2"/>
      <c r="BD1634" s="2"/>
      <c r="BE1634" s="2"/>
      <c r="BF1634" s="2"/>
    </row>
    <row r="1635" spans="2:58">
      <c r="E1635" s="2"/>
      <c r="F1635" s="2"/>
      <c r="G1635" s="2"/>
      <c r="H1635" s="2" t="s">
        <v>16</v>
      </c>
      <c r="I1635" s="2"/>
      <c r="J1635" s="2">
        <f>SUM(J1600:J1633)</f>
        <v>36</v>
      </c>
      <c r="K1635" s="2"/>
      <c r="L1635" s="2">
        <f>SUM(L1600:L1633)</f>
        <v>1566.8</v>
      </c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  <c r="AQ1635" s="2"/>
      <c r="AR1635" s="2"/>
      <c r="AS1635" s="2"/>
      <c r="AT1635" s="2"/>
      <c r="AU1635" s="2"/>
      <c r="AV1635" s="2"/>
      <c r="AW1635" s="2"/>
      <c r="AX1635" s="2"/>
      <c r="AY1635" s="2"/>
      <c r="AZ1635" s="2"/>
      <c r="BA1635" s="2"/>
      <c r="BB1635" s="2"/>
      <c r="BC1635" s="2"/>
      <c r="BD1635" s="2"/>
      <c r="BE1635" s="2"/>
      <c r="BF1635" s="2"/>
    </row>
    <row r="1636" spans="2:58"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  <c r="AL1636" s="2"/>
      <c r="AM1636" s="2"/>
      <c r="AN1636" s="2"/>
      <c r="AO1636" s="2"/>
      <c r="AP1636" s="2"/>
      <c r="AQ1636" s="2"/>
      <c r="AR1636" s="2"/>
      <c r="AS1636" s="2"/>
      <c r="AT1636" s="2"/>
      <c r="AU1636" s="2"/>
      <c r="AV1636" s="2"/>
      <c r="AW1636" s="2"/>
      <c r="AX1636" s="2"/>
      <c r="AY1636" s="2"/>
      <c r="AZ1636" s="2"/>
      <c r="BA1636" s="2"/>
      <c r="BB1636" s="2"/>
      <c r="BC1636" s="2"/>
      <c r="BD1636" s="2"/>
      <c r="BE1636" s="2"/>
      <c r="BF1636" s="2"/>
    </row>
    <row r="1637" spans="2:58"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  <c r="AL1637" s="2"/>
      <c r="AM1637" s="2"/>
      <c r="AN1637" s="2"/>
      <c r="AO1637" s="2"/>
      <c r="AP1637" s="2"/>
      <c r="AQ1637" s="2"/>
      <c r="AR1637" s="2"/>
      <c r="AS1637" s="2"/>
      <c r="AT1637" s="2"/>
      <c r="AU1637" s="2"/>
      <c r="AV1637" s="2"/>
      <c r="AW1637" s="2"/>
      <c r="AX1637" s="2"/>
      <c r="AY1637" s="2"/>
      <c r="AZ1637" s="2"/>
      <c r="BA1637" s="2"/>
      <c r="BB1637" s="2"/>
      <c r="BC1637" s="2"/>
      <c r="BD1637" s="2"/>
      <c r="BE1637" s="2"/>
      <c r="BF1637" s="2"/>
    </row>
    <row r="1638" spans="2:58"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  <c r="AL1638" s="2"/>
      <c r="AM1638" s="2"/>
      <c r="AN1638" s="2"/>
      <c r="AO1638" s="2"/>
      <c r="AP1638" s="2"/>
      <c r="AQ1638" s="2"/>
      <c r="AR1638" s="2"/>
      <c r="AS1638" s="2"/>
      <c r="AT1638" s="2"/>
      <c r="AU1638" s="2"/>
      <c r="AV1638" s="2"/>
      <c r="AW1638" s="2"/>
      <c r="AX1638" s="2"/>
      <c r="AY1638" s="2"/>
      <c r="AZ1638" s="2"/>
      <c r="BA1638" s="2"/>
      <c r="BB1638" s="2"/>
      <c r="BC1638" s="2"/>
      <c r="BD1638" s="2"/>
      <c r="BE1638" s="2"/>
      <c r="BF1638" s="2"/>
    </row>
    <row r="1639" spans="2:58"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  <c r="AL1639" s="2"/>
      <c r="AM1639" s="2"/>
      <c r="AN1639" s="2"/>
      <c r="AO1639" s="2"/>
      <c r="AP1639" s="2"/>
      <c r="AQ1639" s="2"/>
      <c r="AR1639" s="2"/>
      <c r="AS1639" s="2"/>
      <c r="AT1639" s="2"/>
      <c r="AU1639" s="2"/>
      <c r="AV1639" s="2"/>
      <c r="AW1639" s="2"/>
      <c r="AX1639" s="2"/>
      <c r="AY1639" s="2"/>
      <c r="AZ1639" s="2"/>
      <c r="BA1639" s="2"/>
      <c r="BB1639" s="2"/>
      <c r="BC1639" s="2"/>
      <c r="BD1639" s="2"/>
      <c r="BE1639" s="2"/>
      <c r="BF1639" s="2"/>
    </row>
    <row r="1640" spans="2:58"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  <c r="AL1640" s="2"/>
      <c r="AM1640" s="2"/>
      <c r="AN1640" s="2"/>
      <c r="AO1640" s="2"/>
      <c r="AP1640" s="2"/>
      <c r="AQ1640" s="2"/>
      <c r="AR1640" s="2"/>
      <c r="AS1640" s="2"/>
      <c r="AT1640" s="2"/>
      <c r="AU1640" s="2"/>
      <c r="AV1640" s="2"/>
      <c r="AW1640" s="2"/>
      <c r="AX1640" s="2"/>
      <c r="AY1640" s="2"/>
      <c r="AZ1640" s="2"/>
      <c r="BA1640" s="2"/>
      <c r="BB1640" s="2"/>
      <c r="BC1640" s="2"/>
      <c r="BD1640" s="2"/>
      <c r="BE1640" s="2"/>
      <c r="BF1640" s="2"/>
    </row>
    <row r="1641" spans="2:58"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  <c r="AL1641" s="2"/>
      <c r="AM1641" s="2"/>
      <c r="AN1641" s="2"/>
      <c r="AO1641" s="2"/>
      <c r="AP1641" s="2"/>
      <c r="AQ1641" s="2"/>
      <c r="AR1641" s="2"/>
      <c r="AS1641" s="2"/>
      <c r="AT1641" s="2"/>
      <c r="AU1641" s="2"/>
      <c r="AV1641" s="2"/>
      <c r="AW1641" s="2"/>
      <c r="AX1641" s="2"/>
      <c r="AY1641" s="2"/>
      <c r="AZ1641" s="2"/>
      <c r="BA1641" s="2"/>
      <c r="BB1641" s="2"/>
      <c r="BC1641" s="2"/>
      <c r="BD1641" s="2"/>
      <c r="BE1641" s="2"/>
      <c r="BF1641" s="2"/>
    </row>
    <row r="1642" spans="2:58">
      <c r="AL1642" s="2"/>
      <c r="AN1642" s="2"/>
    </row>
    <row r="1643" spans="2:58">
      <c r="AL1643" s="2"/>
    </row>
    <row r="1644" spans="2:58">
      <c r="AL1644" s="2"/>
    </row>
    <row r="1645" spans="2:58">
      <c r="AL1645" s="2"/>
    </row>
    <row r="1646" spans="2:58">
      <c r="AL1646" s="2"/>
    </row>
    <row r="1647" spans="2:58">
      <c r="AL1647" s="2"/>
    </row>
    <row r="1648" spans="2:58">
      <c r="AL1648" s="2"/>
    </row>
    <row r="1649" spans="38:38">
      <c r="AL1649" s="2"/>
    </row>
    <row r="1650" spans="38:38">
      <c r="AL1650" s="2"/>
    </row>
    <row r="1651" spans="38:38">
      <c r="AL1651" s="2"/>
    </row>
    <row r="1652" spans="38:38">
      <c r="AL1652" s="2"/>
    </row>
    <row r="1653" spans="38:38">
      <c r="AL1653" s="2"/>
    </row>
    <row r="1654" spans="38:38">
      <c r="AL1654" s="2"/>
    </row>
    <row r="1655" spans="38:38">
      <c r="AL1655" s="2"/>
    </row>
    <row r="1656" spans="38:38">
      <c r="AL1656" s="2"/>
    </row>
    <row r="1657" spans="38:38">
      <c r="AL1657" s="2"/>
    </row>
    <row r="1658" spans="38:38">
      <c r="AL1658" s="2"/>
    </row>
    <row r="1659" spans="38:38">
      <c r="AL1659" s="2"/>
    </row>
    <row r="1660" spans="38:38">
      <c r="AL1660" s="2"/>
    </row>
    <row r="1661" spans="38:38">
      <c r="AL1661" s="2"/>
    </row>
    <row r="1662" spans="38:38">
      <c r="AL1662" s="2"/>
    </row>
    <row r="1663" spans="38:38">
      <c r="AL1663" s="2"/>
    </row>
    <row r="1664" spans="38:38">
      <c r="AL1664" s="2"/>
    </row>
    <row r="1665" spans="38:38">
      <c r="AL1665" s="2"/>
    </row>
    <row r="1666" spans="38:38">
      <c r="AL1666" s="2"/>
    </row>
    <row r="1667" spans="38:38">
      <c r="AL1667" s="2"/>
    </row>
    <row r="1668" spans="38:38">
      <c r="AL1668" s="2"/>
    </row>
    <row r="1669" spans="38:38">
      <c r="AL1669" s="2"/>
    </row>
    <row r="1670" spans="38:38">
      <c r="AL1670" s="2"/>
    </row>
    <row r="1671" spans="38:38">
      <c r="AL1671" s="2"/>
    </row>
    <row r="1672" spans="38:38">
      <c r="AL1672" s="2"/>
    </row>
    <row r="1673" spans="38:38">
      <c r="AL1673" s="2"/>
    </row>
    <row r="1674" spans="38:38">
      <c r="AL1674" s="2"/>
    </row>
    <row r="1675" spans="38:38">
      <c r="AL1675" s="2"/>
    </row>
    <row r="1676" spans="38:38">
      <c r="AL1676" s="2"/>
    </row>
    <row r="1677" spans="38:38">
      <c r="AL1677" s="2"/>
    </row>
    <row r="1678" spans="38:38">
      <c r="AL1678" s="2"/>
    </row>
    <row r="1679" spans="38:38">
      <c r="AL1679" s="2"/>
    </row>
    <row r="1680" spans="38:38">
      <c r="AL1680" s="2"/>
    </row>
    <row r="1681" spans="38:38">
      <c r="AL1681" s="2"/>
    </row>
    <row r="1682" spans="38:38">
      <c r="AL1682" s="2"/>
    </row>
    <row r="1683" spans="38:38">
      <c r="AL1683" s="2"/>
    </row>
    <row r="1684" spans="38:38">
      <c r="AL1684" s="2"/>
    </row>
    <row r="1685" spans="38:38">
      <c r="AL1685" s="2"/>
    </row>
    <row r="1686" spans="38:38">
      <c r="AL1686" s="2"/>
    </row>
    <row r="1687" spans="38:38">
      <c r="AL1687" s="2"/>
    </row>
    <row r="1688" spans="38:38">
      <c r="AL1688" s="2"/>
    </row>
    <row r="1689" spans="38:38">
      <c r="AL1689" s="2"/>
    </row>
    <row r="1690" spans="38:38">
      <c r="AL1690" s="2"/>
    </row>
    <row r="1691" spans="38:38">
      <c r="AL1691" s="2"/>
    </row>
    <row r="1692" spans="38:38">
      <c r="AL1692" s="2"/>
    </row>
    <row r="1693" spans="38:38">
      <c r="AL1693" s="2"/>
    </row>
    <row r="1694" spans="38:38">
      <c r="AL1694" s="2"/>
    </row>
    <row r="1695" spans="38:38">
      <c r="AL1695" s="2"/>
    </row>
    <row r="1696" spans="38:38">
      <c r="AL1696" s="2"/>
    </row>
    <row r="1697" spans="38:38">
      <c r="AL1697" s="2"/>
    </row>
    <row r="1698" spans="38:38">
      <c r="AL1698" s="2"/>
    </row>
    <row r="1699" spans="38:38">
      <c r="AL1699" s="2"/>
    </row>
    <row r="1700" spans="38:38">
      <c r="AL1700" s="2"/>
    </row>
    <row r="1701" spans="38:38">
      <c r="AL1701" s="2"/>
    </row>
    <row r="1702" spans="38:38">
      <c r="AL1702" s="2"/>
    </row>
    <row r="1703" spans="38:38">
      <c r="AL1703" s="2"/>
    </row>
    <row r="1704" spans="38:38">
      <c r="AL1704" s="2"/>
    </row>
    <row r="1705" spans="38:38">
      <c r="AL1705" s="2"/>
    </row>
    <row r="1706" spans="38:38">
      <c r="AL1706" s="2"/>
    </row>
    <row r="1707" spans="38:38">
      <c r="AL1707" s="2"/>
    </row>
    <row r="1708" spans="38:38">
      <c r="AL1708" s="2"/>
    </row>
    <row r="1709" spans="38:38">
      <c r="AL1709" s="2"/>
    </row>
    <row r="1710" spans="38:38">
      <c r="AL1710" s="2"/>
    </row>
    <row r="1711" spans="38:38">
      <c r="AL1711" s="2"/>
    </row>
    <row r="1712" spans="38:38">
      <c r="AL1712" s="2"/>
    </row>
    <row r="1713" spans="38:38">
      <c r="AL1713" s="2"/>
    </row>
    <row r="1714" spans="38:38">
      <c r="AL1714" s="2"/>
    </row>
    <row r="1715" spans="38:38">
      <c r="AL1715" s="2"/>
    </row>
    <row r="1716" spans="38:38">
      <c r="AL1716" s="2"/>
    </row>
    <row r="1717" spans="38:38">
      <c r="AL1717" s="2"/>
    </row>
    <row r="1718" spans="38:38">
      <c r="AL1718" s="2"/>
    </row>
    <row r="1719" spans="38:38">
      <c r="AL1719" s="2"/>
    </row>
    <row r="1720" spans="38:38">
      <c r="AL1720" s="2"/>
    </row>
    <row r="1721" spans="38:38">
      <c r="AL1721" s="2"/>
    </row>
    <row r="1722" spans="38:38">
      <c r="AL1722" s="2"/>
    </row>
    <row r="1723" spans="38:38">
      <c r="AL1723" s="2"/>
    </row>
    <row r="1724" spans="38:38">
      <c r="AL1724" s="2"/>
    </row>
    <row r="1725" spans="38:38">
      <c r="AL1725" s="2"/>
    </row>
    <row r="1726" spans="38:38">
      <c r="AL1726" s="2"/>
    </row>
    <row r="1727" spans="38:38">
      <c r="AL1727" s="2"/>
    </row>
    <row r="1728" spans="38:38">
      <c r="AL1728" s="2"/>
    </row>
    <row r="1729" spans="38:38">
      <c r="AL1729" s="2"/>
    </row>
    <row r="1730" spans="38:38">
      <c r="AL1730" s="2"/>
    </row>
    <row r="1731" spans="38:38">
      <c r="AL1731" s="2"/>
    </row>
    <row r="1732" spans="38:38">
      <c r="AL1732" s="2"/>
    </row>
    <row r="1733" spans="38:38">
      <c r="AL1733" s="2"/>
    </row>
    <row r="1734" spans="38:38">
      <c r="AL1734" s="2"/>
    </row>
    <row r="1735" spans="38:38">
      <c r="AL1735" s="2"/>
    </row>
    <row r="1736" spans="38:38">
      <c r="AL1736" s="2"/>
    </row>
    <row r="1737" spans="38:38">
      <c r="AL1737" s="2"/>
    </row>
    <row r="1738" spans="38:38">
      <c r="AL1738" s="2"/>
    </row>
    <row r="1739" spans="38:38">
      <c r="AL1739" s="2"/>
    </row>
    <row r="1740" spans="38:38">
      <c r="AL1740" s="2"/>
    </row>
    <row r="1741" spans="38:38">
      <c r="AL1741" s="2"/>
    </row>
    <row r="1742" spans="38:38">
      <c r="AL1742" s="2"/>
    </row>
    <row r="1743" spans="38:38">
      <c r="AL1743" s="2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</cp:lastModifiedBy>
  <dcterms:created xsi:type="dcterms:W3CDTF">2019-07-30T12:33:57Z</dcterms:created>
  <dcterms:modified xsi:type="dcterms:W3CDTF">2020-08-10T09:22:01Z</dcterms:modified>
</cp:coreProperties>
</file>